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\OneDrive\01_TOVIA\03_Projekty, nabidky\01_Realizace\PM\SZU\Projekt_04\ETAPA_1\ZD\Final\"/>
    </mc:Choice>
  </mc:AlternateContent>
  <bookViews>
    <workbookView xWindow="0" yWindow="0" windowWidth="28800" windowHeight="12624" activeTab="3"/>
  </bookViews>
  <sheets>
    <sheet name="Krycí list rozpočtu" sheetId="4" r:id="rId1"/>
    <sheet name="Stavební rozpočet - součet" sheetId="2" r:id="rId2"/>
    <sheet name="Stavební rozpočet" sheetId="1" r:id="rId3"/>
    <sheet name="VORN" sheetId="5" r:id="rId4"/>
    <sheet name="Výkaz výměr" sheetId="3" r:id="rId5"/>
  </sheets>
  <definedNames>
    <definedName name="vorn_sum">VORN!$I$36:$I$36</definedName>
  </definedNames>
  <calcPr calcId="152511"/>
</workbook>
</file>

<file path=xl/calcChain.xml><?xml version="1.0" encoding="utf-8"?>
<calcChain xmlns="http://schemas.openxmlformats.org/spreadsheetml/2006/main">
  <c r="F10" i="4" l="1"/>
  <c r="C2" i="4"/>
  <c r="F2" i="4"/>
  <c r="C4" i="4"/>
  <c r="F4" i="4"/>
  <c r="C6" i="4"/>
  <c r="F6" i="4"/>
  <c r="C8" i="4"/>
  <c r="F8" i="4"/>
  <c r="C10" i="4"/>
  <c r="I10" i="4"/>
  <c r="F14" i="4"/>
  <c r="J13" i="1"/>
  <c r="AL13" i="1" s="1"/>
  <c r="M13" i="1"/>
  <c r="Z13" i="1"/>
  <c r="AD13" i="1"/>
  <c r="AE13" i="1"/>
  <c r="AF13" i="1"/>
  <c r="AG13" i="1"/>
  <c r="AH13" i="1"/>
  <c r="AJ13" i="1"/>
  <c r="AK13" i="1"/>
  <c r="AO13" i="1"/>
  <c r="H13" i="1" s="1"/>
  <c r="AP13" i="1"/>
  <c r="I13" i="1" s="1"/>
  <c r="AW13" i="1"/>
  <c r="BD13" i="1"/>
  <c r="BH13" i="1"/>
  <c r="AB13" i="1" s="1"/>
  <c r="BI13" i="1"/>
  <c r="AC13" i="1" s="1"/>
  <c r="BJ13" i="1"/>
  <c r="J16" i="1"/>
  <c r="M16" i="1"/>
  <c r="BF16" i="1" s="1"/>
  <c r="Z16" i="1"/>
  <c r="AD16" i="1"/>
  <c r="AE16" i="1"/>
  <c r="AF16" i="1"/>
  <c r="AG16" i="1"/>
  <c r="AH16" i="1"/>
  <c r="AJ16" i="1"/>
  <c r="AK16" i="1"/>
  <c r="AL16" i="1"/>
  <c r="AO16" i="1"/>
  <c r="H16" i="1" s="1"/>
  <c r="AP16" i="1"/>
  <c r="I16" i="1" s="1"/>
  <c r="AX16" i="1"/>
  <c r="BD16" i="1"/>
  <c r="BI16" i="1"/>
  <c r="AC16" i="1" s="1"/>
  <c r="BJ16" i="1"/>
  <c r="J19" i="1"/>
  <c r="J18" i="1" s="1"/>
  <c r="F12" i="2" s="1"/>
  <c r="I12" i="2" s="1"/>
  <c r="M19" i="1"/>
  <c r="Z19" i="1"/>
  <c r="AD19" i="1"/>
  <c r="AE19" i="1"/>
  <c r="AF19" i="1"/>
  <c r="AG19" i="1"/>
  <c r="AH19" i="1"/>
  <c r="AJ19" i="1"/>
  <c r="AS18" i="1" s="1"/>
  <c r="AK19" i="1"/>
  <c r="AT18" i="1" s="1"/>
  <c r="AL19" i="1"/>
  <c r="AU18" i="1" s="1"/>
  <c r="AO19" i="1"/>
  <c r="H19" i="1" s="1"/>
  <c r="H18" i="1" s="1"/>
  <c r="D12" i="2" s="1"/>
  <c r="AP19" i="1"/>
  <c r="I19" i="1" s="1"/>
  <c r="I18" i="1" s="1"/>
  <c r="E12" i="2" s="1"/>
  <c r="AX19" i="1"/>
  <c r="BD19" i="1"/>
  <c r="BH19" i="1"/>
  <c r="AB19" i="1" s="1"/>
  <c r="BI19" i="1"/>
  <c r="AC19" i="1" s="1"/>
  <c r="BJ19" i="1"/>
  <c r="J22" i="1"/>
  <c r="J21" i="1" s="1"/>
  <c r="F13" i="2" s="1"/>
  <c r="I13" i="2" s="1"/>
  <c r="M22" i="1"/>
  <c r="Z22" i="1"/>
  <c r="AD22" i="1"/>
  <c r="AE22" i="1"/>
  <c r="AF22" i="1"/>
  <c r="AG22" i="1"/>
  <c r="AH22" i="1"/>
  <c r="AJ22" i="1"/>
  <c r="AS21" i="1" s="1"/>
  <c r="AK22" i="1"/>
  <c r="AT21" i="1" s="1"/>
  <c r="AL22" i="1"/>
  <c r="AU21" i="1" s="1"/>
  <c r="AO22" i="1"/>
  <c r="H22" i="1" s="1"/>
  <c r="H21" i="1" s="1"/>
  <c r="D13" i="2" s="1"/>
  <c r="AP22" i="1"/>
  <c r="I22" i="1" s="1"/>
  <c r="I21" i="1" s="1"/>
  <c r="E13" i="2" s="1"/>
  <c r="AX22" i="1"/>
  <c r="BD22" i="1"/>
  <c r="BH22" i="1"/>
  <c r="AB22" i="1" s="1"/>
  <c r="BI22" i="1"/>
  <c r="AC22" i="1" s="1"/>
  <c r="BJ22" i="1"/>
  <c r="J25" i="1"/>
  <c r="AL25" i="1" s="1"/>
  <c r="M25" i="1"/>
  <c r="Z25" i="1"/>
  <c r="AD25" i="1"/>
  <c r="AE25" i="1"/>
  <c r="AF25" i="1"/>
  <c r="AG25" i="1"/>
  <c r="AH25" i="1"/>
  <c r="AJ25" i="1"/>
  <c r="AK25" i="1"/>
  <c r="AO25" i="1"/>
  <c r="H25" i="1" s="1"/>
  <c r="AP25" i="1"/>
  <c r="I25" i="1" s="1"/>
  <c r="AX25" i="1"/>
  <c r="BD25" i="1"/>
  <c r="BH25" i="1"/>
  <c r="AB25" i="1" s="1"/>
  <c r="BI25" i="1"/>
  <c r="AC25" i="1" s="1"/>
  <c r="BJ25" i="1"/>
  <c r="J27" i="1"/>
  <c r="M27" i="1"/>
  <c r="BF27" i="1" s="1"/>
  <c r="Z27" i="1"/>
  <c r="AD27" i="1"/>
  <c r="AE27" i="1"/>
  <c r="AF27" i="1"/>
  <c r="AG27" i="1"/>
  <c r="AH27" i="1"/>
  <c r="AJ27" i="1"/>
  <c r="AK27" i="1"/>
  <c r="AL27" i="1"/>
  <c r="AO27" i="1"/>
  <c r="H27" i="1" s="1"/>
  <c r="AP27" i="1"/>
  <c r="I27" i="1" s="1"/>
  <c r="AX27" i="1"/>
  <c r="BD27" i="1"/>
  <c r="BH27" i="1"/>
  <c r="AB27" i="1" s="1"/>
  <c r="BI27" i="1"/>
  <c r="AC27" i="1" s="1"/>
  <c r="BJ27" i="1"/>
  <c r="J29" i="1"/>
  <c r="M29" i="1"/>
  <c r="Z29" i="1"/>
  <c r="AD29" i="1"/>
  <c r="AE29" i="1"/>
  <c r="AF29" i="1"/>
  <c r="AG29" i="1"/>
  <c r="AH29" i="1"/>
  <c r="AJ29" i="1"/>
  <c r="AK29" i="1"/>
  <c r="AL29" i="1"/>
  <c r="AO29" i="1"/>
  <c r="AP29" i="1"/>
  <c r="I29" i="1" s="1"/>
  <c r="AX29" i="1"/>
  <c r="BD29" i="1"/>
  <c r="BF29" i="1"/>
  <c r="BI29" i="1"/>
  <c r="AC29" i="1" s="1"/>
  <c r="BJ29" i="1"/>
  <c r="J30" i="1"/>
  <c r="AL30" i="1" s="1"/>
  <c r="M30" i="1"/>
  <c r="Z30" i="1"/>
  <c r="AD30" i="1"/>
  <c r="AE30" i="1"/>
  <c r="AF30" i="1"/>
  <c r="AG30" i="1"/>
  <c r="AH30" i="1"/>
  <c r="AJ30" i="1"/>
  <c r="AK30" i="1"/>
  <c r="AO30" i="1"/>
  <c r="H30" i="1" s="1"/>
  <c r="AP30" i="1"/>
  <c r="BD30" i="1"/>
  <c r="BF30" i="1"/>
  <c r="BH30" i="1"/>
  <c r="AB30" i="1" s="1"/>
  <c r="BJ30" i="1"/>
  <c r="J31" i="1"/>
  <c r="AL31" i="1" s="1"/>
  <c r="M31" i="1"/>
  <c r="BF31" i="1" s="1"/>
  <c r="Z31" i="1"/>
  <c r="AD31" i="1"/>
  <c r="AE31" i="1"/>
  <c r="AF31" i="1"/>
  <c r="AG31" i="1"/>
  <c r="AH31" i="1"/>
  <c r="AJ31" i="1"/>
  <c r="AK31" i="1"/>
  <c r="AO31" i="1"/>
  <c r="H31" i="1" s="1"/>
  <c r="AP31" i="1"/>
  <c r="I31" i="1" s="1"/>
  <c r="AX31" i="1"/>
  <c r="BD31" i="1"/>
  <c r="BH31" i="1"/>
  <c r="AB31" i="1" s="1"/>
  <c r="BI31" i="1"/>
  <c r="AC31" i="1" s="1"/>
  <c r="BJ31" i="1"/>
  <c r="J33" i="1"/>
  <c r="M33" i="1"/>
  <c r="BF33" i="1" s="1"/>
  <c r="Z33" i="1"/>
  <c r="AD33" i="1"/>
  <c r="AE33" i="1"/>
  <c r="AF33" i="1"/>
  <c r="AG33" i="1"/>
  <c r="AH33" i="1"/>
  <c r="AJ33" i="1"/>
  <c r="AK33" i="1"/>
  <c r="AL33" i="1"/>
  <c r="AO33" i="1"/>
  <c r="H33" i="1" s="1"/>
  <c r="AP33" i="1"/>
  <c r="I33" i="1" s="1"/>
  <c r="AX33" i="1"/>
  <c r="BD33" i="1"/>
  <c r="BH33" i="1"/>
  <c r="AB33" i="1" s="1"/>
  <c r="BI33" i="1"/>
  <c r="AC33" i="1" s="1"/>
  <c r="BJ33" i="1"/>
  <c r="J35" i="1"/>
  <c r="M35" i="1"/>
  <c r="Z35" i="1"/>
  <c r="AD35" i="1"/>
  <c r="AE35" i="1"/>
  <c r="AF35" i="1"/>
  <c r="AG35" i="1"/>
  <c r="AH35" i="1"/>
  <c r="AJ35" i="1"/>
  <c r="AK35" i="1"/>
  <c r="AL35" i="1"/>
  <c r="AO35" i="1"/>
  <c r="AP35" i="1"/>
  <c r="I35" i="1" s="1"/>
  <c r="AX35" i="1"/>
  <c r="BD35" i="1"/>
  <c r="BF35" i="1"/>
  <c r="BI35" i="1"/>
  <c r="AC35" i="1" s="1"/>
  <c r="BJ35" i="1"/>
  <c r="J37" i="1"/>
  <c r="AL37" i="1" s="1"/>
  <c r="M37" i="1"/>
  <c r="Z37" i="1"/>
  <c r="AD37" i="1"/>
  <c r="AE37" i="1"/>
  <c r="AF37" i="1"/>
  <c r="AG37" i="1"/>
  <c r="AH37" i="1"/>
  <c r="AJ37" i="1"/>
  <c r="AK37" i="1"/>
  <c r="AO37" i="1"/>
  <c r="H37" i="1" s="1"/>
  <c r="AP37" i="1"/>
  <c r="BD37" i="1"/>
  <c r="BF37" i="1"/>
  <c r="BJ37" i="1"/>
  <c r="J40" i="1"/>
  <c r="AL40" i="1" s="1"/>
  <c r="M40" i="1"/>
  <c r="Z40" i="1"/>
  <c r="AD40" i="1"/>
  <c r="AE40" i="1"/>
  <c r="AF40" i="1"/>
  <c r="AG40" i="1"/>
  <c r="AH40" i="1"/>
  <c r="AJ40" i="1"/>
  <c r="AK40" i="1"/>
  <c r="AO40" i="1"/>
  <c r="H40" i="1" s="1"/>
  <c r="AP40" i="1"/>
  <c r="BD40" i="1"/>
  <c r="BF40" i="1"/>
  <c r="BH40" i="1"/>
  <c r="AB40" i="1" s="1"/>
  <c r="BJ40" i="1"/>
  <c r="J43" i="1"/>
  <c r="AL43" i="1" s="1"/>
  <c r="M43" i="1"/>
  <c r="Z43" i="1"/>
  <c r="AD43" i="1"/>
  <c r="AE43" i="1"/>
  <c r="AF43" i="1"/>
  <c r="AG43" i="1"/>
  <c r="AH43" i="1"/>
  <c r="AJ43" i="1"/>
  <c r="AK43" i="1"/>
  <c r="AO43" i="1"/>
  <c r="H43" i="1" s="1"/>
  <c r="AP43" i="1"/>
  <c r="BD43" i="1"/>
  <c r="BF43" i="1"/>
  <c r="BH43" i="1"/>
  <c r="AB43" i="1" s="1"/>
  <c r="BJ43" i="1"/>
  <c r="J45" i="1"/>
  <c r="AL45" i="1" s="1"/>
  <c r="M45" i="1"/>
  <c r="BF45" i="1" s="1"/>
  <c r="Z45" i="1"/>
  <c r="AD45" i="1"/>
  <c r="AE45" i="1"/>
  <c r="AF45" i="1"/>
  <c r="AG45" i="1"/>
  <c r="AH45" i="1"/>
  <c r="AJ45" i="1"/>
  <c r="AK45" i="1"/>
  <c r="AO45" i="1"/>
  <c r="H45" i="1" s="1"/>
  <c r="AP45" i="1"/>
  <c r="I45" i="1" s="1"/>
  <c r="AX45" i="1"/>
  <c r="BD45" i="1"/>
  <c r="BH45" i="1"/>
  <c r="AB45" i="1" s="1"/>
  <c r="BI45" i="1"/>
  <c r="AC45" i="1" s="1"/>
  <c r="BJ45" i="1"/>
  <c r="J47" i="1"/>
  <c r="M47" i="1"/>
  <c r="BF47" i="1" s="1"/>
  <c r="Z47" i="1"/>
  <c r="AD47" i="1"/>
  <c r="AE47" i="1"/>
  <c r="AF47" i="1"/>
  <c r="AG47" i="1"/>
  <c r="AH47" i="1"/>
  <c r="AJ47" i="1"/>
  <c r="AK47" i="1"/>
  <c r="AL47" i="1"/>
  <c r="AO47" i="1"/>
  <c r="H47" i="1" s="1"/>
  <c r="AP47" i="1"/>
  <c r="I47" i="1" s="1"/>
  <c r="AX47" i="1"/>
  <c r="BD47" i="1"/>
  <c r="BH47" i="1"/>
  <c r="AB47" i="1" s="1"/>
  <c r="BI47" i="1"/>
  <c r="AC47" i="1" s="1"/>
  <c r="BJ47" i="1"/>
  <c r="J49" i="1"/>
  <c r="M49" i="1"/>
  <c r="Z49" i="1"/>
  <c r="AD49" i="1"/>
  <c r="AE49" i="1"/>
  <c r="AF49" i="1"/>
  <c r="AG49" i="1"/>
  <c r="AH49" i="1"/>
  <c r="AJ49" i="1"/>
  <c r="AK49" i="1"/>
  <c r="AL49" i="1"/>
  <c r="AO49" i="1"/>
  <c r="AP49" i="1"/>
  <c r="I49" i="1" s="1"/>
  <c r="AX49" i="1"/>
  <c r="BD49" i="1"/>
  <c r="BF49" i="1"/>
  <c r="BI49" i="1"/>
  <c r="AC49" i="1" s="1"/>
  <c r="BJ49" i="1"/>
  <c r="J51" i="1"/>
  <c r="AL51" i="1" s="1"/>
  <c r="M51" i="1"/>
  <c r="Z51" i="1"/>
  <c r="AD51" i="1"/>
  <c r="AE51" i="1"/>
  <c r="AF51" i="1"/>
  <c r="AG51" i="1"/>
  <c r="AH51" i="1"/>
  <c r="AJ51" i="1"/>
  <c r="AK51" i="1"/>
  <c r="AO51" i="1"/>
  <c r="H51" i="1" s="1"/>
  <c r="AP51" i="1"/>
  <c r="BD51" i="1"/>
  <c r="BF51" i="1"/>
  <c r="BH51" i="1"/>
  <c r="AB51" i="1" s="1"/>
  <c r="BJ51" i="1"/>
  <c r="J54" i="1"/>
  <c r="AL54" i="1" s="1"/>
  <c r="M54" i="1"/>
  <c r="BF54" i="1" s="1"/>
  <c r="Z54" i="1"/>
  <c r="AD54" i="1"/>
  <c r="AE54" i="1"/>
  <c r="AF54" i="1"/>
  <c r="AG54" i="1"/>
  <c r="AH54" i="1"/>
  <c r="AJ54" i="1"/>
  <c r="AK54" i="1"/>
  <c r="AO54" i="1"/>
  <c r="H54" i="1" s="1"/>
  <c r="AP54" i="1"/>
  <c r="I54" i="1" s="1"/>
  <c r="AX54" i="1"/>
  <c r="BD54" i="1"/>
  <c r="BH54" i="1"/>
  <c r="AB54" i="1" s="1"/>
  <c r="BJ54" i="1"/>
  <c r="J57" i="1"/>
  <c r="AL57" i="1" s="1"/>
  <c r="M57" i="1"/>
  <c r="Z57" i="1"/>
  <c r="AD57" i="1"/>
  <c r="AE57" i="1"/>
  <c r="AF57" i="1"/>
  <c r="AG57" i="1"/>
  <c r="AH57" i="1"/>
  <c r="AJ57" i="1"/>
  <c r="AK57" i="1"/>
  <c r="AO57" i="1"/>
  <c r="H57" i="1" s="1"/>
  <c r="AP57" i="1"/>
  <c r="I57" i="1" s="1"/>
  <c r="BD57" i="1"/>
  <c r="BH57" i="1"/>
  <c r="AB57" i="1" s="1"/>
  <c r="BI57" i="1"/>
  <c r="AC57" i="1" s="1"/>
  <c r="BJ57" i="1"/>
  <c r="J60" i="1"/>
  <c r="M60" i="1"/>
  <c r="BF60" i="1" s="1"/>
  <c r="Z60" i="1"/>
  <c r="AD60" i="1"/>
  <c r="AE60" i="1"/>
  <c r="AF60" i="1"/>
  <c r="AG60" i="1"/>
  <c r="AH60" i="1"/>
  <c r="AJ60" i="1"/>
  <c r="AK60" i="1"/>
  <c r="AL60" i="1"/>
  <c r="AO60" i="1"/>
  <c r="H60" i="1" s="1"/>
  <c r="AP60" i="1"/>
  <c r="I60" i="1" s="1"/>
  <c r="AX60" i="1"/>
  <c r="BD60" i="1"/>
  <c r="BH60" i="1"/>
  <c r="AB60" i="1" s="1"/>
  <c r="BI60" i="1"/>
  <c r="AC60" i="1" s="1"/>
  <c r="BJ60" i="1"/>
  <c r="J64" i="1"/>
  <c r="M64" i="1"/>
  <c r="Z64" i="1"/>
  <c r="AD64" i="1"/>
  <c r="AE64" i="1"/>
  <c r="AF64" i="1"/>
  <c r="AG64" i="1"/>
  <c r="AH64" i="1"/>
  <c r="AJ64" i="1"/>
  <c r="AK64" i="1"/>
  <c r="AL64" i="1"/>
  <c r="AO64" i="1"/>
  <c r="H64" i="1" s="1"/>
  <c r="AP64" i="1"/>
  <c r="I64" i="1" s="1"/>
  <c r="AW64" i="1"/>
  <c r="AX64" i="1"/>
  <c r="BD64" i="1"/>
  <c r="BF64" i="1"/>
  <c r="BH64" i="1"/>
  <c r="AB64" i="1" s="1"/>
  <c r="BI64" i="1"/>
  <c r="AC64" i="1" s="1"/>
  <c r="BJ64" i="1"/>
  <c r="J66" i="1"/>
  <c r="AL66" i="1" s="1"/>
  <c r="M66" i="1"/>
  <c r="BF66" i="1" s="1"/>
  <c r="Z66" i="1"/>
  <c r="AD66" i="1"/>
  <c r="AE66" i="1"/>
  <c r="AF66" i="1"/>
  <c r="AG66" i="1"/>
  <c r="AH66" i="1"/>
  <c r="AJ66" i="1"/>
  <c r="AK66" i="1"/>
  <c r="AO66" i="1"/>
  <c r="H66" i="1" s="1"/>
  <c r="AP66" i="1"/>
  <c r="I66" i="1" s="1"/>
  <c r="AX66" i="1"/>
  <c r="BD66" i="1"/>
  <c r="BH66" i="1"/>
  <c r="AB66" i="1" s="1"/>
  <c r="BJ66" i="1"/>
  <c r="J68" i="1"/>
  <c r="M68" i="1"/>
  <c r="BF68" i="1" s="1"/>
  <c r="Z68" i="1"/>
  <c r="AD68" i="1"/>
  <c r="AE68" i="1"/>
  <c r="AF68" i="1"/>
  <c r="AG68" i="1"/>
  <c r="AH68" i="1"/>
  <c r="AJ68" i="1"/>
  <c r="AK68" i="1"/>
  <c r="AL68" i="1"/>
  <c r="AO68" i="1"/>
  <c r="H68" i="1" s="1"/>
  <c r="AP68" i="1"/>
  <c r="I68" i="1" s="1"/>
  <c r="AX68" i="1"/>
  <c r="BD68" i="1"/>
  <c r="BI68" i="1"/>
  <c r="AC68" i="1" s="1"/>
  <c r="BJ68" i="1"/>
  <c r="J70" i="1"/>
  <c r="M70" i="1"/>
  <c r="Z70" i="1"/>
  <c r="AD70" i="1"/>
  <c r="AE70" i="1"/>
  <c r="AF70" i="1"/>
  <c r="AG70" i="1"/>
  <c r="AH70" i="1"/>
  <c r="AJ70" i="1"/>
  <c r="AK70" i="1"/>
  <c r="AL70" i="1"/>
  <c r="AO70" i="1"/>
  <c r="AP70" i="1"/>
  <c r="I70" i="1" s="1"/>
  <c r="BD70" i="1"/>
  <c r="BF70" i="1"/>
  <c r="BI70" i="1"/>
  <c r="AC70" i="1" s="1"/>
  <c r="BJ70" i="1"/>
  <c r="J73" i="1"/>
  <c r="M73" i="1"/>
  <c r="Z73" i="1"/>
  <c r="AD73" i="1"/>
  <c r="AE73" i="1"/>
  <c r="AF73" i="1"/>
  <c r="AG73" i="1"/>
  <c r="AH73" i="1"/>
  <c r="AJ73" i="1"/>
  <c r="AK73" i="1"/>
  <c r="AL73" i="1"/>
  <c r="AO73" i="1"/>
  <c r="AP73" i="1"/>
  <c r="I73" i="1" s="1"/>
  <c r="AX73" i="1"/>
  <c r="BD73" i="1"/>
  <c r="BF73" i="1"/>
  <c r="BI73" i="1"/>
  <c r="AC73" i="1" s="1"/>
  <c r="BJ73" i="1"/>
  <c r="J75" i="1"/>
  <c r="M75" i="1"/>
  <c r="BF75" i="1" s="1"/>
  <c r="Z75" i="1"/>
  <c r="AD75" i="1"/>
  <c r="AE75" i="1"/>
  <c r="AF75" i="1"/>
  <c r="AG75" i="1"/>
  <c r="AH75" i="1"/>
  <c r="AJ75" i="1"/>
  <c r="AK75" i="1"/>
  <c r="AL75" i="1"/>
  <c r="AO75" i="1"/>
  <c r="H75" i="1" s="1"/>
  <c r="AP75" i="1"/>
  <c r="I75" i="1" s="1"/>
  <c r="AX75" i="1"/>
  <c r="BD75" i="1"/>
  <c r="BH75" i="1"/>
  <c r="AB75" i="1" s="1"/>
  <c r="BI75" i="1"/>
  <c r="AC75" i="1" s="1"/>
  <c r="BJ75" i="1"/>
  <c r="J77" i="1"/>
  <c r="M77" i="1"/>
  <c r="Z77" i="1"/>
  <c r="AD77" i="1"/>
  <c r="AE77" i="1"/>
  <c r="AF77" i="1"/>
  <c r="AG77" i="1"/>
  <c r="AH77" i="1"/>
  <c r="AJ77" i="1"/>
  <c r="AK77" i="1"/>
  <c r="AL77" i="1"/>
  <c r="AO77" i="1"/>
  <c r="AP77" i="1"/>
  <c r="I77" i="1" s="1"/>
  <c r="AX77" i="1"/>
  <c r="BD77" i="1"/>
  <c r="BF77" i="1"/>
  <c r="BI77" i="1"/>
  <c r="AC77" i="1" s="1"/>
  <c r="BJ77" i="1"/>
  <c r="J79" i="1"/>
  <c r="AL79" i="1" s="1"/>
  <c r="M79" i="1"/>
  <c r="Z79" i="1"/>
  <c r="AD79" i="1"/>
  <c r="AE79" i="1"/>
  <c r="AF79" i="1"/>
  <c r="AG79" i="1"/>
  <c r="AH79" i="1"/>
  <c r="AJ79" i="1"/>
  <c r="AK79" i="1"/>
  <c r="AO79" i="1"/>
  <c r="H79" i="1" s="1"/>
  <c r="AP79" i="1"/>
  <c r="BD79" i="1"/>
  <c r="BF79" i="1"/>
  <c r="BH79" i="1"/>
  <c r="AB79" i="1" s="1"/>
  <c r="BJ79" i="1"/>
  <c r="H81" i="1"/>
  <c r="J81" i="1"/>
  <c r="AL81" i="1" s="1"/>
  <c r="M81" i="1"/>
  <c r="Z81" i="1"/>
  <c r="AD81" i="1"/>
  <c r="AE81" i="1"/>
  <c r="AF81" i="1"/>
  <c r="AG81" i="1"/>
  <c r="AH81" i="1"/>
  <c r="AJ81" i="1"/>
  <c r="AK81" i="1"/>
  <c r="AO81" i="1"/>
  <c r="AW81" i="1" s="1"/>
  <c r="AP81" i="1"/>
  <c r="BD81" i="1"/>
  <c r="BF81" i="1"/>
  <c r="BH81" i="1"/>
  <c r="AB81" i="1" s="1"/>
  <c r="BJ81" i="1"/>
  <c r="J84" i="1"/>
  <c r="AL84" i="1" s="1"/>
  <c r="M84" i="1"/>
  <c r="BF84" i="1" s="1"/>
  <c r="Z84" i="1"/>
  <c r="AD84" i="1"/>
  <c r="AE84" i="1"/>
  <c r="AF84" i="1"/>
  <c r="AG84" i="1"/>
  <c r="AH84" i="1"/>
  <c r="AJ84" i="1"/>
  <c r="AK84" i="1"/>
  <c r="AO84" i="1"/>
  <c r="H84" i="1" s="1"/>
  <c r="AP84" i="1"/>
  <c r="I84" i="1" s="1"/>
  <c r="AX84" i="1"/>
  <c r="BD84" i="1"/>
  <c r="BH84" i="1"/>
  <c r="AB84" i="1" s="1"/>
  <c r="BI84" i="1"/>
  <c r="AC84" i="1" s="1"/>
  <c r="BJ84" i="1"/>
  <c r="J88" i="1"/>
  <c r="AL88" i="1" s="1"/>
  <c r="M88" i="1"/>
  <c r="Z88" i="1"/>
  <c r="AD88" i="1"/>
  <c r="AE88" i="1"/>
  <c r="AF88" i="1"/>
  <c r="AG88" i="1"/>
  <c r="AH88" i="1"/>
  <c r="AJ88" i="1"/>
  <c r="AK88" i="1"/>
  <c r="AO88" i="1"/>
  <c r="H88" i="1" s="1"/>
  <c r="AP88" i="1"/>
  <c r="I88" i="1" s="1"/>
  <c r="AX88" i="1"/>
  <c r="BD88" i="1"/>
  <c r="BH88" i="1"/>
  <c r="AB88" i="1" s="1"/>
  <c r="BI88" i="1"/>
  <c r="AC88" i="1" s="1"/>
  <c r="BJ88" i="1"/>
  <c r="J91" i="1"/>
  <c r="M91" i="1"/>
  <c r="BF91" i="1" s="1"/>
  <c r="Z91" i="1"/>
  <c r="AD91" i="1"/>
  <c r="AE91" i="1"/>
  <c r="AF91" i="1"/>
  <c r="AG91" i="1"/>
  <c r="AH91" i="1"/>
  <c r="AJ91" i="1"/>
  <c r="AK91" i="1"/>
  <c r="AL91" i="1"/>
  <c r="AO91" i="1"/>
  <c r="H91" i="1" s="1"/>
  <c r="AP91" i="1"/>
  <c r="I91" i="1" s="1"/>
  <c r="AX91" i="1"/>
  <c r="BD91" i="1"/>
  <c r="BH91" i="1"/>
  <c r="AB91" i="1" s="1"/>
  <c r="BI91" i="1"/>
  <c r="AC91" i="1" s="1"/>
  <c r="BJ91" i="1"/>
  <c r="J94" i="1"/>
  <c r="AL94" i="1" s="1"/>
  <c r="M94" i="1"/>
  <c r="Z94" i="1"/>
  <c r="AD94" i="1"/>
  <c r="AE94" i="1"/>
  <c r="AF94" i="1"/>
  <c r="AG94" i="1"/>
  <c r="AH94" i="1"/>
  <c r="AJ94" i="1"/>
  <c r="AK94" i="1"/>
  <c r="AO94" i="1"/>
  <c r="H94" i="1" s="1"/>
  <c r="AP94" i="1"/>
  <c r="I94" i="1" s="1"/>
  <c r="AX94" i="1"/>
  <c r="BD94" i="1"/>
  <c r="BH94" i="1"/>
  <c r="AB94" i="1" s="1"/>
  <c r="BI94" i="1"/>
  <c r="AC94" i="1" s="1"/>
  <c r="BJ94" i="1"/>
  <c r="J96" i="1"/>
  <c r="AL96" i="1" s="1"/>
  <c r="M96" i="1"/>
  <c r="BF96" i="1" s="1"/>
  <c r="Z96" i="1"/>
  <c r="AD96" i="1"/>
  <c r="AE96" i="1"/>
  <c r="AF96" i="1"/>
  <c r="AG96" i="1"/>
  <c r="AH96" i="1"/>
  <c r="AJ96" i="1"/>
  <c r="AK96" i="1"/>
  <c r="AO96" i="1"/>
  <c r="H96" i="1" s="1"/>
  <c r="AP96" i="1"/>
  <c r="I96" i="1" s="1"/>
  <c r="AX96" i="1"/>
  <c r="BD96" i="1"/>
  <c r="BH96" i="1"/>
  <c r="AB96" i="1" s="1"/>
  <c r="BJ96" i="1"/>
  <c r="J97" i="1"/>
  <c r="AL97" i="1" s="1"/>
  <c r="M97" i="1"/>
  <c r="BF97" i="1" s="1"/>
  <c r="Z97" i="1"/>
  <c r="AD97" i="1"/>
  <c r="AE97" i="1"/>
  <c r="AF97" i="1"/>
  <c r="AG97" i="1"/>
  <c r="AH97" i="1"/>
  <c r="AJ97" i="1"/>
  <c r="AK97" i="1"/>
  <c r="AO97" i="1"/>
  <c r="H97" i="1" s="1"/>
  <c r="AP97" i="1"/>
  <c r="I97" i="1" s="1"/>
  <c r="BD97" i="1"/>
  <c r="BH97" i="1"/>
  <c r="AB97" i="1" s="1"/>
  <c r="BI97" i="1"/>
  <c r="AC97" i="1" s="1"/>
  <c r="BJ97" i="1"/>
  <c r="J98" i="1"/>
  <c r="AL98" i="1" s="1"/>
  <c r="M98" i="1"/>
  <c r="BF98" i="1" s="1"/>
  <c r="Z98" i="1"/>
  <c r="AD98" i="1"/>
  <c r="AE98" i="1"/>
  <c r="AF98" i="1"/>
  <c r="AG98" i="1"/>
  <c r="AH98" i="1"/>
  <c r="AJ98" i="1"/>
  <c r="AK98" i="1"/>
  <c r="AO98" i="1"/>
  <c r="H98" i="1" s="1"/>
  <c r="AP98" i="1"/>
  <c r="I98" i="1" s="1"/>
  <c r="AX98" i="1"/>
  <c r="BD98" i="1"/>
  <c r="BH98" i="1"/>
  <c r="AB98" i="1" s="1"/>
  <c r="BI98" i="1"/>
  <c r="AC98" i="1" s="1"/>
  <c r="BJ98" i="1"/>
  <c r="J99" i="1"/>
  <c r="M99" i="1"/>
  <c r="BF99" i="1" s="1"/>
  <c r="Z99" i="1"/>
  <c r="AD99" i="1"/>
  <c r="AE99" i="1"/>
  <c r="AF99" i="1"/>
  <c r="AG99" i="1"/>
  <c r="AH99" i="1"/>
  <c r="AJ99" i="1"/>
  <c r="AK99" i="1"/>
  <c r="AT93" i="1" s="1"/>
  <c r="AL99" i="1"/>
  <c r="AO99" i="1"/>
  <c r="H99" i="1" s="1"/>
  <c r="AP99" i="1"/>
  <c r="I99" i="1" s="1"/>
  <c r="AX99" i="1"/>
  <c r="BD99" i="1"/>
  <c r="BI99" i="1"/>
  <c r="AC99" i="1" s="1"/>
  <c r="BJ99" i="1"/>
  <c r="J100" i="1"/>
  <c r="M100" i="1"/>
  <c r="Z100" i="1"/>
  <c r="AD100" i="1"/>
  <c r="AE100" i="1"/>
  <c r="AF100" i="1"/>
  <c r="AG100" i="1"/>
  <c r="AH100" i="1"/>
  <c r="AJ100" i="1"/>
  <c r="AK100" i="1"/>
  <c r="AL100" i="1"/>
  <c r="AO100" i="1"/>
  <c r="AP100" i="1"/>
  <c r="I100" i="1" s="1"/>
  <c r="BD100" i="1"/>
  <c r="BF100" i="1"/>
  <c r="BI100" i="1"/>
  <c r="AC100" i="1" s="1"/>
  <c r="BJ100" i="1"/>
  <c r="J102" i="1"/>
  <c r="M102" i="1"/>
  <c r="BF102" i="1" s="1"/>
  <c r="Z102" i="1"/>
  <c r="AD102" i="1"/>
  <c r="AE102" i="1"/>
  <c r="AF102" i="1"/>
  <c r="AG102" i="1"/>
  <c r="AH102" i="1"/>
  <c r="AJ102" i="1"/>
  <c r="AK102" i="1"/>
  <c r="AL102" i="1"/>
  <c r="AO102" i="1"/>
  <c r="BH102" i="1" s="1"/>
  <c r="AB102" i="1" s="1"/>
  <c r="AP102" i="1"/>
  <c r="I102" i="1" s="1"/>
  <c r="AX102" i="1"/>
  <c r="BD102" i="1"/>
  <c r="BI102" i="1"/>
  <c r="AC102" i="1" s="1"/>
  <c r="BJ102" i="1"/>
  <c r="J105" i="1"/>
  <c r="J101" i="1" s="1"/>
  <c r="F21" i="2" s="1"/>
  <c r="I21" i="2" s="1"/>
  <c r="M105" i="1"/>
  <c r="Z105" i="1"/>
  <c r="AD105" i="1"/>
  <c r="AE105" i="1"/>
  <c r="AF105" i="1"/>
  <c r="AG105" i="1"/>
  <c r="AH105" i="1"/>
  <c r="AJ105" i="1"/>
  <c r="AS101" i="1" s="1"/>
  <c r="AK105" i="1"/>
  <c r="AL105" i="1"/>
  <c r="AU101" i="1" s="1"/>
  <c r="AO105" i="1"/>
  <c r="AP105" i="1"/>
  <c r="I105" i="1" s="1"/>
  <c r="BD105" i="1"/>
  <c r="BF105" i="1"/>
  <c r="BJ105" i="1"/>
  <c r="J108" i="1"/>
  <c r="M108" i="1"/>
  <c r="BF108" i="1" s="1"/>
  <c r="Z108" i="1"/>
  <c r="AD108" i="1"/>
  <c r="AE108" i="1"/>
  <c r="AF108" i="1"/>
  <c r="AG108" i="1"/>
  <c r="AH108" i="1"/>
  <c r="AJ108" i="1"/>
  <c r="AK108" i="1"/>
  <c r="AL108" i="1"/>
  <c r="AO108" i="1"/>
  <c r="H108" i="1" s="1"/>
  <c r="AP108" i="1"/>
  <c r="I108" i="1" s="1"/>
  <c r="AW108" i="1"/>
  <c r="BD108" i="1"/>
  <c r="BI108" i="1"/>
  <c r="AC108" i="1" s="1"/>
  <c r="BJ108" i="1"/>
  <c r="J110" i="1"/>
  <c r="M110" i="1"/>
  <c r="Z110" i="1"/>
  <c r="AD110" i="1"/>
  <c r="AE110" i="1"/>
  <c r="AF110" i="1"/>
  <c r="AG110" i="1"/>
  <c r="AH110" i="1"/>
  <c r="AJ110" i="1"/>
  <c r="AK110" i="1"/>
  <c r="AL110" i="1"/>
  <c r="AO110" i="1"/>
  <c r="AP110" i="1"/>
  <c r="I110" i="1" s="1"/>
  <c r="BD110" i="1"/>
  <c r="BF110" i="1"/>
  <c r="BJ110" i="1"/>
  <c r="J113" i="1"/>
  <c r="AL113" i="1" s="1"/>
  <c r="M113" i="1"/>
  <c r="Z113" i="1"/>
  <c r="AD113" i="1"/>
  <c r="AE113" i="1"/>
  <c r="AF113" i="1"/>
  <c r="AG113" i="1"/>
  <c r="AH113" i="1"/>
  <c r="AJ113" i="1"/>
  <c r="AK113" i="1"/>
  <c r="AO113" i="1"/>
  <c r="H113" i="1" s="1"/>
  <c r="AP113" i="1"/>
  <c r="BD113" i="1"/>
  <c r="BF113" i="1"/>
  <c r="BH113" i="1"/>
  <c r="AB113" i="1" s="1"/>
  <c r="BJ113" i="1"/>
  <c r="H116" i="1"/>
  <c r="J116" i="1"/>
  <c r="AL116" i="1" s="1"/>
  <c r="M116" i="1"/>
  <c r="Z116" i="1"/>
  <c r="AD116" i="1"/>
  <c r="AE116" i="1"/>
  <c r="AF116" i="1"/>
  <c r="AG116" i="1"/>
  <c r="AH116" i="1"/>
  <c r="AJ116" i="1"/>
  <c r="AK116" i="1"/>
  <c r="AO116" i="1"/>
  <c r="AW116" i="1" s="1"/>
  <c r="AP116" i="1"/>
  <c r="BD116" i="1"/>
  <c r="BF116" i="1"/>
  <c r="BH116" i="1"/>
  <c r="AB116" i="1" s="1"/>
  <c r="BJ116" i="1"/>
  <c r="M118" i="1"/>
  <c r="G23" i="2" s="1"/>
  <c r="J119" i="1"/>
  <c r="AL119" i="1" s="1"/>
  <c r="M119" i="1"/>
  <c r="Z119" i="1"/>
  <c r="AD119" i="1"/>
  <c r="AE119" i="1"/>
  <c r="AF119" i="1"/>
  <c r="AG119" i="1"/>
  <c r="AH119" i="1"/>
  <c r="AJ119" i="1"/>
  <c r="AK119" i="1"/>
  <c r="AO119" i="1"/>
  <c r="AP119" i="1"/>
  <c r="BD119" i="1"/>
  <c r="BF119" i="1"/>
  <c r="BJ119" i="1"/>
  <c r="J121" i="1"/>
  <c r="AL121" i="1" s="1"/>
  <c r="M121" i="1"/>
  <c r="Z121" i="1"/>
  <c r="AD121" i="1"/>
  <c r="AE121" i="1"/>
  <c r="AF121" i="1"/>
  <c r="AG121" i="1"/>
  <c r="AH121" i="1"/>
  <c r="AJ121" i="1"/>
  <c r="AK121" i="1"/>
  <c r="AO121" i="1"/>
  <c r="H121" i="1" s="1"/>
  <c r="AP121" i="1"/>
  <c r="BD121" i="1"/>
  <c r="BF121" i="1"/>
  <c r="BH121" i="1"/>
  <c r="AB121" i="1" s="1"/>
  <c r="BJ121" i="1"/>
  <c r="M122" i="1"/>
  <c r="G24" i="2" s="1"/>
  <c r="J123" i="1"/>
  <c r="AL123" i="1" s="1"/>
  <c r="M123" i="1"/>
  <c r="Z123" i="1"/>
  <c r="AD123" i="1"/>
  <c r="AE123" i="1"/>
  <c r="AF123" i="1"/>
  <c r="AG123" i="1"/>
  <c r="AH123" i="1"/>
  <c r="AJ123" i="1"/>
  <c r="AK123" i="1"/>
  <c r="AO123" i="1"/>
  <c r="H123" i="1" s="1"/>
  <c r="AP123" i="1"/>
  <c r="BD123" i="1"/>
  <c r="BF123" i="1"/>
  <c r="BJ123" i="1"/>
  <c r="J126" i="1"/>
  <c r="AL126" i="1" s="1"/>
  <c r="M126" i="1"/>
  <c r="BF126" i="1" s="1"/>
  <c r="Z126" i="1"/>
  <c r="AD126" i="1"/>
  <c r="AE126" i="1"/>
  <c r="AF126" i="1"/>
  <c r="AG126" i="1"/>
  <c r="AH126" i="1"/>
  <c r="AJ126" i="1"/>
  <c r="AK126" i="1"/>
  <c r="AO126" i="1"/>
  <c r="H126" i="1" s="1"/>
  <c r="AP126" i="1"/>
  <c r="I126" i="1" s="1"/>
  <c r="BD126" i="1"/>
  <c r="BH126" i="1"/>
  <c r="AB126" i="1" s="1"/>
  <c r="BI126" i="1"/>
  <c r="AC126" i="1" s="1"/>
  <c r="BJ126" i="1"/>
  <c r="J129" i="1"/>
  <c r="M129" i="1"/>
  <c r="BF129" i="1" s="1"/>
  <c r="Z129" i="1"/>
  <c r="AD129" i="1"/>
  <c r="AE129" i="1"/>
  <c r="AF129" i="1"/>
  <c r="AG129" i="1"/>
  <c r="AH129" i="1"/>
  <c r="AJ129" i="1"/>
  <c r="AK129" i="1"/>
  <c r="AL129" i="1"/>
  <c r="AO129" i="1"/>
  <c r="H129" i="1" s="1"/>
  <c r="AP129" i="1"/>
  <c r="I129" i="1" s="1"/>
  <c r="AX129" i="1"/>
  <c r="BD129" i="1"/>
  <c r="BH129" i="1"/>
  <c r="AB129" i="1" s="1"/>
  <c r="BI129" i="1"/>
  <c r="AC129" i="1" s="1"/>
  <c r="BJ129" i="1"/>
  <c r="J132" i="1"/>
  <c r="M132" i="1"/>
  <c r="Z132" i="1"/>
  <c r="AB132" i="1"/>
  <c r="AC132" i="1"/>
  <c r="AF132" i="1"/>
  <c r="AG132" i="1"/>
  <c r="AH132" i="1"/>
  <c r="AJ132" i="1"/>
  <c r="AK132" i="1"/>
  <c r="AT131" i="1" s="1"/>
  <c r="AL132" i="1"/>
  <c r="AO132" i="1"/>
  <c r="H132" i="1" s="1"/>
  <c r="AP132" i="1"/>
  <c r="I132" i="1" s="1"/>
  <c r="AX132" i="1"/>
  <c r="BD132" i="1"/>
  <c r="BH132" i="1"/>
  <c r="AD132" i="1" s="1"/>
  <c r="BI132" i="1"/>
  <c r="AE132" i="1" s="1"/>
  <c r="BJ132" i="1"/>
  <c r="J133" i="1"/>
  <c r="M133" i="1"/>
  <c r="Z133" i="1"/>
  <c r="AB133" i="1"/>
  <c r="AC133" i="1"/>
  <c r="AF133" i="1"/>
  <c r="AG133" i="1"/>
  <c r="AH133" i="1"/>
  <c r="AJ133" i="1"/>
  <c r="AK133" i="1"/>
  <c r="AL133" i="1"/>
  <c r="AO133" i="1"/>
  <c r="AP133" i="1"/>
  <c r="I133" i="1" s="1"/>
  <c r="AX133" i="1"/>
  <c r="BD133" i="1"/>
  <c r="BF133" i="1"/>
  <c r="BI133" i="1"/>
  <c r="AE133" i="1" s="1"/>
  <c r="BJ133" i="1"/>
  <c r="J135" i="1"/>
  <c r="AL135" i="1" s="1"/>
  <c r="M135" i="1"/>
  <c r="Z135" i="1"/>
  <c r="AB135" i="1"/>
  <c r="AC135" i="1"/>
  <c r="AF135" i="1"/>
  <c r="AG135" i="1"/>
  <c r="AH135" i="1"/>
  <c r="AJ135" i="1"/>
  <c r="AK135" i="1"/>
  <c r="AO135" i="1"/>
  <c r="H135" i="1" s="1"/>
  <c r="AP135" i="1"/>
  <c r="BD135" i="1"/>
  <c r="BF135" i="1"/>
  <c r="BH135" i="1"/>
  <c r="AD135" i="1" s="1"/>
  <c r="BJ135" i="1"/>
  <c r="M137" i="1"/>
  <c r="J138" i="1"/>
  <c r="AL138" i="1" s="1"/>
  <c r="M138" i="1"/>
  <c r="Z138" i="1"/>
  <c r="AB138" i="1"/>
  <c r="AC138" i="1"/>
  <c r="AF138" i="1"/>
  <c r="AG138" i="1"/>
  <c r="AH138" i="1"/>
  <c r="AJ138" i="1"/>
  <c r="AK138" i="1"/>
  <c r="AO138" i="1"/>
  <c r="H138" i="1" s="1"/>
  <c r="AP138" i="1"/>
  <c r="BD138" i="1"/>
  <c r="BF138" i="1"/>
  <c r="BJ138" i="1"/>
  <c r="J140" i="1"/>
  <c r="AL140" i="1" s="1"/>
  <c r="M140" i="1"/>
  <c r="BF140" i="1" s="1"/>
  <c r="Z140" i="1"/>
  <c r="AB140" i="1"/>
  <c r="AC140" i="1"/>
  <c r="AF140" i="1"/>
  <c r="AG140" i="1"/>
  <c r="AH140" i="1"/>
  <c r="AJ140" i="1"/>
  <c r="AK140" i="1"/>
  <c r="AO140" i="1"/>
  <c r="H140" i="1" s="1"/>
  <c r="AP140" i="1"/>
  <c r="I140" i="1" s="1"/>
  <c r="BD140" i="1"/>
  <c r="BH140" i="1"/>
  <c r="AD140" i="1" s="1"/>
  <c r="BI140" i="1"/>
  <c r="AE140" i="1" s="1"/>
  <c r="BJ140" i="1"/>
  <c r="J143" i="1"/>
  <c r="AL143" i="1" s="1"/>
  <c r="M143" i="1"/>
  <c r="Z143" i="1"/>
  <c r="AB143" i="1"/>
  <c r="AC143" i="1"/>
  <c r="AF143" i="1"/>
  <c r="AG143" i="1"/>
  <c r="AH143" i="1"/>
  <c r="AJ143" i="1"/>
  <c r="AK143" i="1"/>
  <c r="AO143" i="1"/>
  <c r="H143" i="1" s="1"/>
  <c r="AP143" i="1"/>
  <c r="I143" i="1" s="1"/>
  <c r="AX143" i="1"/>
  <c r="BD143" i="1"/>
  <c r="BH143" i="1"/>
  <c r="AD143" i="1" s="1"/>
  <c r="BI143" i="1"/>
  <c r="AE143" i="1" s="1"/>
  <c r="BJ143" i="1"/>
  <c r="J145" i="1"/>
  <c r="M145" i="1"/>
  <c r="BF145" i="1" s="1"/>
  <c r="Z145" i="1"/>
  <c r="AB145" i="1"/>
  <c r="AC145" i="1"/>
  <c r="AF145" i="1"/>
  <c r="AG145" i="1"/>
  <c r="AH145" i="1"/>
  <c r="AJ145" i="1"/>
  <c r="AK145" i="1"/>
  <c r="AL145" i="1"/>
  <c r="AO145" i="1"/>
  <c r="H145" i="1" s="1"/>
  <c r="AP145" i="1"/>
  <c r="I145" i="1" s="1"/>
  <c r="AX145" i="1"/>
  <c r="BD145" i="1"/>
  <c r="BH145" i="1"/>
  <c r="AD145" i="1" s="1"/>
  <c r="BI145" i="1"/>
  <c r="AE145" i="1" s="1"/>
  <c r="BJ145" i="1"/>
  <c r="J147" i="1"/>
  <c r="M147" i="1"/>
  <c r="Z147" i="1"/>
  <c r="AB147" i="1"/>
  <c r="AC147" i="1"/>
  <c r="AF147" i="1"/>
  <c r="AG147" i="1"/>
  <c r="AH147" i="1"/>
  <c r="AJ147" i="1"/>
  <c r="AK147" i="1"/>
  <c r="AL147" i="1"/>
  <c r="AO147" i="1"/>
  <c r="AP147" i="1"/>
  <c r="I147" i="1" s="1"/>
  <c r="AX147" i="1"/>
  <c r="BD147" i="1"/>
  <c r="BF147" i="1"/>
  <c r="BI147" i="1"/>
  <c r="AE147" i="1" s="1"/>
  <c r="BJ147" i="1"/>
  <c r="J150" i="1"/>
  <c r="M150" i="1"/>
  <c r="Z150" i="1"/>
  <c r="AB150" i="1"/>
  <c r="AC150" i="1"/>
  <c r="AF150" i="1"/>
  <c r="AG150" i="1"/>
  <c r="AH150" i="1"/>
  <c r="AJ150" i="1"/>
  <c r="AK150" i="1"/>
  <c r="AL150" i="1"/>
  <c r="AO150" i="1"/>
  <c r="H150" i="1" s="1"/>
  <c r="AP150" i="1"/>
  <c r="I150" i="1" s="1"/>
  <c r="BD150" i="1"/>
  <c r="BF150" i="1"/>
  <c r="BH150" i="1"/>
  <c r="AD150" i="1" s="1"/>
  <c r="BJ150" i="1"/>
  <c r="J151" i="1"/>
  <c r="AL151" i="1" s="1"/>
  <c r="M151" i="1"/>
  <c r="M149" i="1" s="1"/>
  <c r="G28" i="2" s="1"/>
  <c r="Z151" i="1"/>
  <c r="AB151" i="1"/>
  <c r="AC151" i="1"/>
  <c r="AF151" i="1"/>
  <c r="AG151" i="1"/>
  <c r="AH151" i="1"/>
  <c r="AJ151" i="1"/>
  <c r="AK151" i="1"/>
  <c r="AO151" i="1"/>
  <c r="H151" i="1" s="1"/>
  <c r="AP151" i="1"/>
  <c r="I151" i="1" s="1"/>
  <c r="AX151" i="1"/>
  <c r="BD151" i="1"/>
  <c r="BH151" i="1"/>
  <c r="AD151" i="1" s="1"/>
  <c r="BI151" i="1"/>
  <c r="AE151" i="1" s="1"/>
  <c r="BJ151" i="1"/>
  <c r="J152" i="1"/>
  <c r="M152" i="1"/>
  <c r="BF152" i="1" s="1"/>
  <c r="Z152" i="1"/>
  <c r="AB152" i="1"/>
  <c r="AC152" i="1"/>
  <c r="AF152" i="1"/>
  <c r="AG152" i="1"/>
  <c r="AH152" i="1"/>
  <c r="AJ152" i="1"/>
  <c r="AK152" i="1"/>
  <c r="AL152" i="1"/>
  <c r="AO152" i="1"/>
  <c r="H152" i="1" s="1"/>
  <c r="AP152" i="1"/>
  <c r="I152" i="1" s="1"/>
  <c r="AX152" i="1"/>
  <c r="BD152" i="1"/>
  <c r="BH152" i="1"/>
  <c r="AD152" i="1" s="1"/>
  <c r="BI152" i="1"/>
  <c r="AE152" i="1" s="1"/>
  <c r="BJ152" i="1"/>
  <c r="J153" i="1"/>
  <c r="M153" i="1"/>
  <c r="Z153" i="1"/>
  <c r="AB153" i="1"/>
  <c r="AC153" i="1"/>
  <c r="AF153" i="1"/>
  <c r="AG153" i="1"/>
  <c r="AH153" i="1"/>
  <c r="AJ153" i="1"/>
  <c r="AK153" i="1"/>
  <c r="AL153" i="1"/>
  <c r="AO153" i="1"/>
  <c r="H153" i="1" s="1"/>
  <c r="AP153" i="1"/>
  <c r="I153" i="1" s="1"/>
  <c r="AX153" i="1"/>
  <c r="BD153" i="1"/>
  <c r="BF153" i="1"/>
  <c r="BI153" i="1"/>
  <c r="AE153" i="1" s="1"/>
  <c r="BJ153" i="1"/>
  <c r="J154" i="1"/>
  <c r="AL154" i="1" s="1"/>
  <c r="M154" i="1"/>
  <c r="Z154" i="1"/>
  <c r="AB154" i="1"/>
  <c r="AC154" i="1"/>
  <c r="AF154" i="1"/>
  <c r="AG154" i="1"/>
  <c r="AH154" i="1"/>
  <c r="AJ154" i="1"/>
  <c r="AK154" i="1"/>
  <c r="AO154" i="1"/>
  <c r="H154" i="1" s="1"/>
  <c r="AP154" i="1"/>
  <c r="I154" i="1" s="1"/>
  <c r="BD154" i="1"/>
  <c r="BF154" i="1"/>
  <c r="BH154" i="1"/>
  <c r="AD154" i="1" s="1"/>
  <c r="BJ154" i="1"/>
  <c r="J155" i="1"/>
  <c r="AL155" i="1" s="1"/>
  <c r="M155" i="1"/>
  <c r="BF155" i="1" s="1"/>
  <c r="Z155" i="1"/>
  <c r="AB155" i="1"/>
  <c r="AC155" i="1"/>
  <c r="AF155" i="1"/>
  <c r="AG155" i="1"/>
  <c r="AH155" i="1"/>
  <c r="AJ155" i="1"/>
  <c r="AK155" i="1"/>
  <c r="AO155" i="1"/>
  <c r="H155" i="1" s="1"/>
  <c r="AP155" i="1"/>
  <c r="I155" i="1" s="1"/>
  <c r="AX155" i="1"/>
  <c r="BD155" i="1"/>
  <c r="BH155" i="1"/>
  <c r="AD155" i="1" s="1"/>
  <c r="BI155" i="1"/>
  <c r="AE155" i="1" s="1"/>
  <c r="BJ155" i="1"/>
  <c r="J156" i="1"/>
  <c r="M156" i="1"/>
  <c r="BF156" i="1" s="1"/>
  <c r="Z156" i="1"/>
  <c r="AB156" i="1"/>
  <c r="AC156" i="1"/>
  <c r="AF156" i="1"/>
  <c r="AG156" i="1"/>
  <c r="AH156" i="1"/>
  <c r="AJ156" i="1"/>
  <c r="AK156" i="1"/>
  <c r="AL156" i="1"/>
  <c r="AO156" i="1"/>
  <c r="H156" i="1" s="1"/>
  <c r="AP156" i="1"/>
  <c r="I156" i="1" s="1"/>
  <c r="AX156" i="1"/>
  <c r="BD156" i="1"/>
  <c r="BH156" i="1"/>
  <c r="AD156" i="1" s="1"/>
  <c r="BI156" i="1"/>
  <c r="AE156" i="1" s="1"/>
  <c r="BJ156" i="1"/>
  <c r="J157" i="1"/>
  <c r="M157" i="1"/>
  <c r="Z157" i="1"/>
  <c r="AB157" i="1"/>
  <c r="AC157" i="1"/>
  <c r="AF157" i="1"/>
  <c r="AG157" i="1"/>
  <c r="AH157" i="1"/>
  <c r="AJ157" i="1"/>
  <c r="AK157" i="1"/>
  <c r="AL157" i="1"/>
  <c r="AO157" i="1"/>
  <c r="H157" i="1" s="1"/>
  <c r="AP157" i="1"/>
  <c r="I157" i="1" s="1"/>
  <c r="AX157" i="1"/>
  <c r="BD157" i="1"/>
  <c r="BF157" i="1"/>
  <c r="BI157" i="1"/>
  <c r="AE157" i="1" s="1"/>
  <c r="BJ157" i="1"/>
  <c r="J158" i="1"/>
  <c r="AL158" i="1" s="1"/>
  <c r="M158" i="1"/>
  <c r="Z158" i="1"/>
  <c r="AB158" i="1"/>
  <c r="AC158" i="1"/>
  <c r="AF158" i="1"/>
  <c r="AG158" i="1"/>
  <c r="AH158" i="1"/>
  <c r="AJ158" i="1"/>
  <c r="AK158" i="1"/>
  <c r="AO158" i="1"/>
  <c r="H158" i="1" s="1"/>
  <c r="AP158" i="1"/>
  <c r="I158" i="1" s="1"/>
  <c r="BD158" i="1"/>
  <c r="BF158" i="1"/>
  <c r="BH158" i="1"/>
  <c r="AD158" i="1" s="1"/>
  <c r="BJ158" i="1"/>
  <c r="J159" i="1"/>
  <c r="AL159" i="1" s="1"/>
  <c r="M159" i="1"/>
  <c r="BF159" i="1" s="1"/>
  <c r="Z159" i="1"/>
  <c r="AB159" i="1"/>
  <c r="AC159" i="1"/>
  <c r="AF159" i="1"/>
  <c r="AG159" i="1"/>
  <c r="AH159" i="1"/>
  <c r="AJ159" i="1"/>
  <c r="AK159" i="1"/>
  <c r="AO159" i="1"/>
  <c r="H159" i="1" s="1"/>
  <c r="AP159" i="1"/>
  <c r="I159" i="1" s="1"/>
  <c r="AX159" i="1"/>
  <c r="BD159" i="1"/>
  <c r="BH159" i="1"/>
  <c r="AD159" i="1" s="1"/>
  <c r="BI159" i="1"/>
  <c r="AE159" i="1" s="1"/>
  <c r="BJ159" i="1"/>
  <c r="J161" i="1"/>
  <c r="AL161" i="1" s="1"/>
  <c r="M161" i="1"/>
  <c r="M160" i="1" s="1"/>
  <c r="G29" i="2" s="1"/>
  <c r="Z161" i="1"/>
  <c r="AB161" i="1"/>
  <c r="AC161" i="1"/>
  <c r="AF161" i="1"/>
  <c r="AG161" i="1"/>
  <c r="AH161" i="1"/>
  <c r="AJ161" i="1"/>
  <c r="AK161" i="1"/>
  <c r="AO161" i="1"/>
  <c r="H161" i="1" s="1"/>
  <c r="AP161" i="1"/>
  <c r="I161" i="1" s="1"/>
  <c r="AX161" i="1"/>
  <c r="BD161" i="1"/>
  <c r="BH161" i="1"/>
  <c r="AD161" i="1" s="1"/>
  <c r="BI161" i="1"/>
  <c r="AE161" i="1" s="1"/>
  <c r="BJ161" i="1"/>
  <c r="J162" i="1"/>
  <c r="M162" i="1"/>
  <c r="BF162" i="1" s="1"/>
  <c r="Z162" i="1"/>
  <c r="AB162" i="1"/>
  <c r="AC162" i="1"/>
  <c r="AF162" i="1"/>
  <c r="AG162" i="1"/>
  <c r="AH162" i="1"/>
  <c r="AJ162" i="1"/>
  <c r="AK162" i="1"/>
  <c r="AL162" i="1"/>
  <c r="AO162" i="1"/>
  <c r="H162" i="1" s="1"/>
  <c r="AP162" i="1"/>
  <c r="I162" i="1" s="1"/>
  <c r="AX162" i="1"/>
  <c r="BD162" i="1"/>
  <c r="BH162" i="1"/>
  <c r="AD162" i="1" s="1"/>
  <c r="BI162" i="1"/>
  <c r="AE162" i="1" s="1"/>
  <c r="BJ162" i="1"/>
  <c r="J165" i="1"/>
  <c r="M165" i="1"/>
  <c r="Z165" i="1"/>
  <c r="AB165" i="1"/>
  <c r="AC165" i="1"/>
  <c r="AF165" i="1"/>
  <c r="AG165" i="1"/>
  <c r="AH165" i="1"/>
  <c r="AJ165" i="1"/>
  <c r="AK165" i="1"/>
  <c r="AL165" i="1"/>
  <c r="AO165" i="1"/>
  <c r="H165" i="1" s="1"/>
  <c r="AP165" i="1"/>
  <c r="I165" i="1" s="1"/>
  <c r="AX165" i="1"/>
  <c r="BD165" i="1"/>
  <c r="BF165" i="1"/>
  <c r="BI165" i="1"/>
  <c r="AE165" i="1" s="1"/>
  <c r="BJ165" i="1"/>
  <c r="J168" i="1"/>
  <c r="AL168" i="1" s="1"/>
  <c r="M168" i="1"/>
  <c r="Z168" i="1"/>
  <c r="AB168" i="1"/>
  <c r="AC168" i="1"/>
  <c r="AF168" i="1"/>
  <c r="AG168" i="1"/>
  <c r="AH168" i="1"/>
  <c r="AJ168" i="1"/>
  <c r="AK168" i="1"/>
  <c r="AO168" i="1"/>
  <c r="H168" i="1" s="1"/>
  <c r="AP168" i="1"/>
  <c r="I168" i="1" s="1"/>
  <c r="BD168" i="1"/>
  <c r="BF168" i="1"/>
  <c r="BH168" i="1"/>
  <c r="AD168" i="1" s="1"/>
  <c r="BJ168" i="1"/>
  <c r="J169" i="1"/>
  <c r="AL169" i="1" s="1"/>
  <c r="M169" i="1"/>
  <c r="BF169" i="1" s="1"/>
  <c r="Z169" i="1"/>
  <c r="AB169" i="1"/>
  <c r="AC169" i="1"/>
  <c r="AF169" i="1"/>
  <c r="AG169" i="1"/>
  <c r="AH169" i="1"/>
  <c r="AJ169" i="1"/>
  <c r="AK169" i="1"/>
  <c r="AO169" i="1"/>
  <c r="H169" i="1" s="1"/>
  <c r="AP169" i="1"/>
  <c r="I169" i="1" s="1"/>
  <c r="AX169" i="1"/>
  <c r="BD169" i="1"/>
  <c r="BH169" i="1"/>
  <c r="AD169" i="1" s="1"/>
  <c r="BI169" i="1"/>
  <c r="AE169" i="1" s="1"/>
  <c r="BJ169" i="1"/>
  <c r="J170" i="1"/>
  <c r="M170" i="1"/>
  <c r="BF170" i="1" s="1"/>
  <c r="Z170" i="1"/>
  <c r="AB170" i="1"/>
  <c r="AC170" i="1"/>
  <c r="AF170" i="1"/>
  <c r="AG170" i="1"/>
  <c r="AH170" i="1"/>
  <c r="AJ170" i="1"/>
  <c r="AK170" i="1"/>
  <c r="AL170" i="1"/>
  <c r="AO170" i="1"/>
  <c r="H170" i="1" s="1"/>
  <c r="AP170" i="1"/>
  <c r="I170" i="1" s="1"/>
  <c r="AX170" i="1"/>
  <c r="BD170" i="1"/>
  <c r="BH170" i="1"/>
  <c r="AD170" i="1" s="1"/>
  <c r="BI170" i="1"/>
  <c r="AE170" i="1" s="1"/>
  <c r="BJ170" i="1"/>
  <c r="J171" i="1"/>
  <c r="M171" i="1"/>
  <c r="Z171" i="1"/>
  <c r="AB171" i="1"/>
  <c r="AC171" i="1"/>
  <c r="AF171" i="1"/>
  <c r="AG171" i="1"/>
  <c r="AH171" i="1"/>
  <c r="AJ171" i="1"/>
  <c r="AK171" i="1"/>
  <c r="AL171" i="1"/>
  <c r="AO171" i="1"/>
  <c r="H171" i="1" s="1"/>
  <c r="AP171" i="1"/>
  <c r="I171" i="1" s="1"/>
  <c r="AX171" i="1"/>
  <c r="BD171" i="1"/>
  <c r="BF171" i="1"/>
  <c r="BI171" i="1"/>
  <c r="AE171" i="1" s="1"/>
  <c r="BJ171" i="1"/>
  <c r="J172" i="1"/>
  <c r="AL172" i="1" s="1"/>
  <c r="M172" i="1"/>
  <c r="Z172" i="1"/>
  <c r="AB172" i="1"/>
  <c r="AC172" i="1"/>
  <c r="AF172" i="1"/>
  <c r="AG172" i="1"/>
  <c r="AH172" i="1"/>
  <c r="AJ172" i="1"/>
  <c r="AK172" i="1"/>
  <c r="AO172" i="1"/>
  <c r="H172" i="1" s="1"/>
  <c r="AP172" i="1"/>
  <c r="I172" i="1" s="1"/>
  <c r="BD172" i="1"/>
  <c r="BF172" i="1"/>
  <c r="BH172" i="1"/>
  <c r="AD172" i="1" s="1"/>
  <c r="BJ172" i="1"/>
  <c r="AT175" i="1"/>
  <c r="J176" i="1"/>
  <c r="M176" i="1"/>
  <c r="BF176" i="1" s="1"/>
  <c r="Z176" i="1"/>
  <c r="AB176" i="1"/>
  <c r="AC176" i="1"/>
  <c r="AF176" i="1"/>
  <c r="AG176" i="1"/>
  <c r="AH176" i="1"/>
  <c r="AJ176" i="1"/>
  <c r="AK176" i="1"/>
  <c r="AL176" i="1"/>
  <c r="AO176" i="1"/>
  <c r="H176" i="1" s="1"/>
  <c r="AP176" i="1"/>
  <c r="I176" i="1" s="1"/>
  <c r="AW176" i="1"/>
  <c r="BD176" i="1"/>
  <c r="BH176" i="1"/>
  <c r="AD176" i="1" s="1"/>
  <c r="BI176" i="1"/>
  <c r="AE176" i="1" s="1"/>
  <c r="BJ176" i="1"/>
  <c r="J178" i="1"/>
  <c r="M178" i="1"/>
  <c r="BF178" i="1" s="1"/>
  <c r="Z178" i="1"/>
  <c r="AB178" i="1"/>
  <c r="AC178" i="1"/>
  <c r="AF178" i="1"/>
  <c r="AG178" i="1"/>
  <c r="AH178" i="1"/>
  <c r="AJ178" i="1"/>
  <c r="AK178" i="1"/>
  <c r="AL178" i="1"/>
  <c r="AO178" i="1"/>
  <c r="H178" i="1" s="1"/>
  <c r="AP178" i="1"/>
  <c r="I178" i="1" s="1"/>
  <c r="AW178" i="1"/>
  <c r="BD178" i="1"/>
  <c r="BH178" i="1"/>
  <c r="AD178" i="1" s="1"/>
  <c r="BI178" i="1"/>
  <c r="AE178" i="1" s="1"/>
  <c r="BJ178" i="1"/>
  <c r="J179" i="1"/>
  <c r="M179" i="1"/>
  <c r="BF179" i="1" s="1"/>
  <c r="Z179" i="1"/>
  <c r="AB179" i="1"/>
  <c r="AC179" i="1"/>
  <c r="AF179" i="1"/>
  <c r="AG179" i="1"/>
  <c r="AH179" i="1"/>
  <c r="AJ179" i="1"/>
  <c r="AK179" i="1"/>
  <c r="AL179" i="1"/>
  <c r="AO179" i="1"/>
  <c r="H179" i="1" s="1"/>
  <c r="AP179" i="1"/>
  <c r="I179" i="1" s="1"/>
  <c r="AW179" i="1"/>
  <c r="BD179" i="1"/>
  <c r="BH179" i="1"/>
  <c r="AD179" i="1" s="1"/>
  <c r="BI179" i="1"/>
  <c r="AE179" i="1" s="1"/>
  <c r="BJ179" i="1"/>
  <c r="J181" i="1"/>
  <c r="M181" i="1"/>
  <c r="BF181" i="1" s="1"/>
  <c r="Z181" i="1"/>
  <c r="AB181" i="1"/>
  <c r="AC181" i="1"/>
  <c r="AF181" i="1"/>
  <c r="AG181" i="1"/>
  <c r="AH181" i="1"/>
  <c r="AJ181" i="1"/>
  <c r="AK181" i="1"/>
  <c r="AL181" i="1"/>
  <c r="AO181" i="1"/>
  <c r="H181" i="1" s="1"/>
  <c r="AP181" i="1"/>
  <c r="I181" i="1" s="1"/>
  <c r="AW181" i="1"/>
  <c r="BD181" i="1"/>
  <c r="BH181" i="1"/>
  <c r="AD181" i="1" s="1"/>
  <c r="BI181" i="1"/>
  <c r="AE181" i="1" s="1"/>
  <c r="BJ181" i="1"/>
  <c r="AS182" i="1"/>
  <c r="J183" i="1"/>
  <c r="J182" i="1" s="1"/>
  <c r="F31" i="2" s="1"/>
  <c r="I31" i="2" s="1"/>
  <c r="M183" i="1"/>
  <c r="BF183" i="1" s="1"/>
  <c r="Z183" i="1"/>
  <c r="AB183" i="1"/>
  <c r="AC183" i="1"/>
  <c r="AF183" i="1"/>
  <c r="AG183" i="1"/>
  <c r="AH183" i="1"/>
  <c r="AJ183" i="1"/>
  <c r="AK183" i="1"/>
  <c r="AT182" i="1" s="1"/>
  <c r="AL183" i="1"/>
  <c r="AU182" i="1" s="1"/>
  <c r="AO183" i="1"/>
  <c r="H183" i="1" s="1"/>
  <c r="H182" i="1" s="1"/>
  <c r="D31" i="2" s="1"/>
  <c r="AP183" i="1"/>
  <c r="I183" i="1" s="1"/>
  <c r="I182" i="1" s="1"/>
  <c r="E31" i="2" s="1"/>
  <c r="AX183" i="1"/>
  <c r="BD183" i="1"/>
  <c r="BH183" i="1"/>
  <c r="AD183" i="1" s="1"/>
  <c r="BI183" i="1"/>
  <c r="AE183" i="1" s="1"/>
  <c r="BJ183" i="1"/>
  <c r="J186" i="1"/>
  <c r="AL186" i="1" s="1"/>
  <c r="M186" i="1"/>
  <c r="M185" i="1" s="1"/>
  <c r="G32" i="2" s="1"/>
  <c r="Z186" i="1"/>
  <c r="AB186" i="1"/>
  <c r="AC186" i="1"/>
  <c r="AF186" i="1"/>
  <c r="AG186" i="1"/>
  <c r="AH186" i="1"/>
  <c r="AJ186" i="1"/>
  <c r="AK186" i="1"/>
  <c r="AO186" i="1"/>
  <c r="H186" i="1" s="1"/>
  <c r="AP186" i="1"/>
  <c r="I186" i="1" s="1"/>
  <c r="AW186" i="1"/>
  <c r="BD186" i="1"/>
  <c r="BH186" i="1"/>
  <c r="AD186" i="1" s="1"/>
  <c r="BI186" i="1"/>
  <c r="AE186" i="1" s="1"/>
  <c r="BJ186" i="1"/>
  <c r="J189" i="1"/>
  <c r="M189" i="1"/>
  <c r="BF189" i="1" s="1"/>
  <c r="Z189" i="1"/>
  <c r="AB189" i="1"/>
  <c r="AC189" i="1"/>
  <c r="AF189" i="1"/>
  <c r="AG189" i="1"/>
  <c r="AH189" i="1"/>
  <c r="AJ189" i="1"/>
  <c r="AK189" i="1"/>
  <c r="AL189" i="1"/>
  <c r="AO189" i="1"/>
  <c r="H189" i="1" s="1"/>
  <c r="AP189" i="1"/>
  <c r="I189" i="1" s="1"/>
  <c r="AX189" i="1"/>
  <c r="BD189" i="1"/>
  <c r="BH189" i="1"/>
  <c r="AD189" i="1" s="1"/>
  <c r="BI189" i="1"/>
  <c r="AE189" i="1" s="1"/>
  <c r="BJ189" i="1"/>
  <c r="J190" i="1"/>
  <c r="M190" i="1"/>
  <c r="Z190" i="1"/>
  <c r="AB190" i="1"/>
  <c r="AC190" i="1"/>
  <c r="AF190" i="1"/>
  <c r="AG190" i="1"/>
  <c r="AH190" i="1"/>
  <c r="AJ190" i="1"/>
  <c r="AK190" i="1"/>
  <c r="AL190" i="1"/>
  <c r="AO190" i="1"/>
  <c r="H190" i="1" s="1"/>
  <c r="AP190" i="1"/>
  <c r="I190" i="1" s="1"/>
  <c r="AX190" i="1"/>
  <c r="BD190" i="1"/>
  <c r="BF190" i="1"/>
  <c r="BI190" i="1"/>
  <c r="AE190" i="1" s="1"/>
  <c r="BJ190" i="1"/>
  <c r="J191" i="1"/>
  <c r="AL191" i="1" s="1"/>
  <c r="M191" i="1"/>
  <c r="Z191" i="1"/>
  <c r="AB191" i="1"/>
  <c r="AC191" i="1"/>
  <c r="AF191" i="1"/>
  <c r="AG191" i="1"/>
  <c r="AH191" i="1"/>
  <c r="AJ191" i="1"/>
  <c r="AK191" i="1"/>
  <c r="AO191" i="1"/>
  <c r="H191" i="1" s="1"/>
  <c r="AP191" i="1"/>
  <c r="I191" i="1" s="1"/>
  <c r="BD191" i="1"/>
  <c r="BF191" i="1"/>
  <c r="BH191" i="1"/>
  <c r="AD191" i="1" s="1"/>
  <c r="BJ191" i="1"/>
  <c r="J194" i="1"/>
  <c r="AL194" i="1" s="1"/>
  <c r="M194" i="1"/>
  <c r="Z194" i="1"/>
  <c r="AB194" i="1"/>
  <c r="AC194" i="1"/>
  <c r="AF194" i="1"/>
  <c r="AG194" i="1"/>
  <c r="AH194" i="1"/>
  <c r="AJ194" i="1"/>
  <c r="AK194" i="1"/>
  <c r="AO194" i="1"/>
  <c r="H194" i="1" s="1"/>
  <c r="AP194" i="1"/>
  <c r="I194" i="1" s="1"/>
  <c r="BD194" i="1"/>
  <c r="BF194" i="1"/>
  <c r="BH194" i="1"/>
  <c r="AD194" i="1" s="1"/>
  <c r="BJ194" i="1"/>
  <c r="J196" i="1"/>
  <c r="AL196" i="1" s="1"/>
  <c r="M196" i="1"/>
  <c r="M193" i="1" s="1"/>
  <c r="G33" i="2" s="1"/>
  <c r="Z196" i="1"/>
  <c r="AB196" i="1"/>
  <c r="AC196" i="1"/>
  <c r="AF196" i="1"/>
  <c r="AG196" i="1"/>
  <c r="AH196" i="1"/>
  <c r="AJ196" i="1"/>
  <c r="AK196" i="1"/>
  <c r="AO196" i="1"/>
  <c r="H196" i="1" s="1"/>
  <c r="AP196" i="1"/>
  <c r="I196" i="1" s="1"/>
  <c r="AX196" i="1"/>
  <c r="BD196" i="1"/>
  <c r="BH196" i="1"/>
  <c r="AD196" i="1" s="1"/>
  <c r="BI196" i="1"/>
  <c r="AE196" i="1" s="1"/>
  <c r="BJ196" i="1"/>
  <c r="J198" i="1"/>
  <c r="M198" i="1"/>
  <c r="BF198" i="1" s="1"/>
  <c r="Z198" i="1"/>
  <c r="AB198" i="1"/>
  <c r="AC198" i="1"/>
  <c r="AF198" i="1"/>
  <c r="AG198" i="1"/>
  <c r="AH198" i="1"/>
  <c r="AJ198" i="1"/>
  <c r="AK198" i="1"/>
  <c r="AL198" i="1"/>
  <c r="AO198" i="1"/>
  <c r="H198" i="1" s="1"/>
  <c r="AP198" i="1"/>
  <c r="I198" i="1" s="1"/>
  <c r="AX198" i="1"/>
  <c r="BD198" i="1"/>
  <c r="BH198" i="1"/>
  <c r="AD198" i="1" s="1"/>
  <c r="BI198" i="1"/>
  <c r="AE198" i="1" s="1"/>
  <c r="BJ198" i="1"/>
  <c r="J201" i="1"/>
  <c r="M201" i="1"/>
  <c r="M200" i="1" s="1"/>
  <c r="G34" i="2" s="1"/>
  <c r="Z201" i="1"/>
  <c r="AB201" i="1"/>
  <c r="AC201" i="1"/>
  <c r="AF201" i="1"/>
  <c r="AG201" i="1"/>
  <c r="AH201" i="1"/>
  <c r="AJ201" i="1"/>
  <c r="AK201" i="1"/>
  <c r="AL201" i="1"/>
  <c r="AO201" i="1"/>
  <c r="H201" i="1" s="1"/>
  <c r="AP201" i="1"/>
  <c r="I201" i="1" s="1"/>
  <c r="AX201" i="1"/>
  <c r="BD201" i="1"/>
  <c r="BH201" i="1"/>
  <c r="AD201" i="1" s="1"/>
  <c r="BI201" i="1"/>
  <c r="AE201" i="1" s="1"/>
  <c r="BJ201" i="1"/>
  <c r="J202" i="1"/>
  <c r="M202" i="1"/>
  <c r="Z202" i="1"/>
  <c r="AB202" i="1"/>
  <c r="AC202" i="1"/>
  <c r="AF202" i="1"/>
  <c r="AG202" i="1"/>
  <c r="AH202" i="1"/>
  <c r="AJ202" i="1"/>
  <c r="AK202" i="1"/>
  <c r="AL202" i="1"/>
  <c r="AO202" i="1"/>
  <c r="H202" i="1" s="1"/>
  <c r="AP202" i="1"/>
  <c r="I202" i="1" s="1"/>
  <c r="AX202" i="1"/>
  <c r="BD202" i="1"/>
  <c r="BF202" i="1"/>
  <c r="BI202" i="1"/>
  <c r="AE202" i="1" s="1"/>
  <c r="BJ202" i="1"/>
  <c r="J204" i="1"/>
  <c r="AL204" i="1" s="1"/>
  <c r="M204" i="1"/>
  <c r="Z204" i="1"/>
  <c r="AB204" i="1"/>
  <c r="AC204" i="1"/>
  <c r="AF204" i="1"/>
  <c r="AG204" i="1"/>
  <c r="AH204" i="1"/>
  <c r="AJ204" i="1"/>
  <c r="AK204" i="1"/>
  <c r="AO204" i="1"/>
  <c r="H204" i="1" s="1"/>
  <c r="AP204" i="1"/>
  <c r="I204" i="1" s="1"/>
  <c r="BD204" i="1"/>
  <c r="BF204" i="1"/>
  <c r="BH204" i="1"/>
  <c r="AD204" i="1" s="1"/>
  <c r="BJ204" i="1"/>
  <c r="J206" i="1"/>
  <c r="AL206" i="1" s="1"/>
  <c r="M206" i="1"/>
  <c r="BF206" i="1" s="1"/>
  <c r="Z206" i="1"/>
  <c r="AB206" i="1"/>
  <c r="AC206" i="1"/>
  <c r="AF206" i="1"/>
  <c r="AG206" i="1"/>
  <c r="AH206" i="1"/>
  <c r="AJ206" i="1"/>
  <c r="AK206" i="1"/>
  <c r="AO206" i="1"/>
  <c r="H206" i="1" s="1"/>
  <c r="AP206" i="1"/>
  <c r="I206" i="1" s="1"/>
  <c r="AX206" i="1"/>
  <c r="BD206" i="1"/>
  <c r="BH206" i="1"/>
  <c r="AD206" i="1" s="1"/>
  <c r="BI206" i="1"/>
  <c r="AE206" i="1" s="1"/>
  <c r="BJ206" i="1"/>
  <c r="J207" i="1"/>
  <c r="M207" i="1"/>
  <c r="BF207" i="1" s="1"/>
  <c r="Z207" i="1"/>
  <c r="AB207" i="1"/>
  <c r="AC207" i="1"/>
  <c r="AF207" i="1"/>
  <c r="AG207" i="1"/>
  <c r="AH207" i="1"/>
  <c r="AJ207" i="1"/>
  <c r="AK207" i="1"/>
  <c r="AL207" i="1"/>
  <c r="AO207" i="1"/>
  <c r="H207" i="1" s="1"/>
  <c r="AP207" i="1"/>
  <c r="I207" i="1" s="1"/>
  <c r="AX207" i="1"/>
  <c r="BD207" i="1"/>
  <c r="BH207" i="1"/>
  <c r="AD207" i="1" s="1"/>
  <c r="BI207" i="1"/>
  <c r="AE207" i="1" s="1"/>
  <c r="BJ207" i="1"/>
  <c r="J209" i="1"/>
  <c r="M209" i="1"/>
  <c r="Z209" i="1"/>
  <c r="AB209" i="1"/>
  <c r="AC209" i="1"/>
  <c r="AF209" i="1"/>
  <c r="AG209" i="1"/>
  <c r="AH209" i="1"/>
  <c r="AJ209" i="1"/>
  <c r="AK209" i="1"/>
  <c r="AL209" i="1"/>
  <c r="AO209" i="1"/>
  <c r="H209" i="1" s="1"/>
  <c r="AP209" i="1"/>
  <c r="I209" i="1" s="1"/>
  <c r="AX209" i="1"/>
  <c r="BD209" i="1"/>
  <c r="BF209" i="1"/>
  <c r="BI209" i="1"/>
  <c r="AE209" i="1" s="1"/>
  <c r="BJ209" i="1"/>
  <c r="J211" i="1"/>
  <c r="AL211" i="1" s="1"/>
  <c r="M211" i="1"/>
  <c r="Z211" i="1"/>
  <c r="AB211" i="1"/>
  <c r="AC211" i="1"/>
  <c r="AF211" i="1"/>
  <c r="AG211" i="1"/>
  <c r="AH211" i="1"/>
  <c r="AJ211" i="1"/>
  <c r="AK211" i="1"/>
  <c r="AO211" i="1"/>
  <c r="H211" i="1" s="1"/>
  <c r="AP211" i="1"/>
  <c r="I211" i="1" s="1"/>
  <c r="BD211" i="1"/>
  <c r="BF211" i="1"/>
  <c r="BH211" i="1"/>
  <c r="AD211" i="1" s="1"/>
  <c r="BJ211" i="1"/>
  <c r="J212" i="1"/>
  <c r="AL212" i="1" s="1"/>
  <c r="M212" i="1"/>
  <c r="BF212" i="1" s="1"/>
  <c r="Z212" i="1"/>
  <c r="AB212" i="1"/>
  <c r="AC212" i="1"/>
  <c r="AF212" i="1"/>
  <c r="AG212" i="1"/>
  <c r="AH212" i="1"/>
  <c r="AJ212" i="1"/>
  <c r="AK212" i="1"/>
  <c r="AO212" i="1"/>
  <c r="H212" i="1" s="1"/>
  <c r="AP212" i="1"/>
  <c r="I212" i="1" s="1"/>
  <c r="AX212" i="1"/>
  <c r="BD212" i="1"/>
  <c r="BH212" i="1"/>
  <c r="AD212" i="1" s="1"/>
  <c r="BI212" i="1"/>
  <c r="AE212" i="1" s="1"/>
  <c r="BJ212" i="1"/>
  <c r="J214" i="1"/>
  <c r="M214" i="1"/>
  <c r="BF214" i="1" s="1"/>
  <c r="Z214" i="1"/>
  <c r="AB214" i="1"/>
  <c r="AC214" i="1"/>
  <c r="AF214" i="1"/>
  <c r="AG214" i="1"/>
  <c r="AH214" i="1"/>
  <c r="AJ214" i="1"/>
  <c r="AK214" i="1"/>
  <c r="AL214" i="1"/>
  <c r="AO214" i="1"/>
  <c r="H214" i="1" s="1"/>
  <c r="AP214" i="1"/>
  <c r="I214" i="1" s="1"/>
  <c r="AX214" i="1"/>
  <c r="BD214" i="1"/>
  <c r="BH214" i="1"/>
  <c r="AD214" i="1" s="1"/>
  <c r="BI214" i="1"/>
  <c r="AE214" i="1" s="1"/>
  <c r="BJ214" i="1"/>
  <c r="J215" i="1"/>
  <c r="M215" i="1"/>
  <c r="Z215" i="1"/>
  <c r="AB215" i="1"/>
  <c r="AC215" i="1"/>
  <c r="AF215" i="1"/>
  <c r="AG215" i="1"/>
  <c r="AH215" i="1"/>
  <c r="AJ215" i="1"/>
  <c r="AK215" i="1"/>
  <c r="AL215" i="1"/>
  <c r="AO215" i="1"/>
  <c r="H215" i="1" s="1"/>
  <c r="AP215" i="1"/>
  <c r="I215" i="1" s="1"/>
  <c r="AX215" i="1"/>
  <c r="BD215" i="1"/>
  <c r="BF215" i="1"/>
  <c r="BI215" i="1"/>
  <c r="AE215" i="1" s="1"/>
  <c r="BJ215" i="1"/>
  <c r="J217" i="1"/>
  <c r="AL217" i="1" s="1"/>
  <c r="M217" i="1"/>
  <c r="Z217" i="1"/>
  <c r="AB217" i="1"/>
  <c r="AC217" i="1"/>
  <c r="AF217" i="1"/>
  <c r="AG217" i="1"/>
  <c r="AH217" i="1"/>
  <c r="AJ217" i="1"/>
  <c r="AK217" i="1"/>
  <c r="AO217" i="1"/>
  <c r="H217" i="1" s="1"/>
  <c r="AP217" i="1"/>
  <c r="I217" i="1" s="1"/>
  <c r="BD217" i="1"/>
  <c r="BF217" i="1"/>
  <c r="BH217" i="1"/>
  <c r="AD217" i="1" s="1"/>
  <c r="BJ217" i="1"/>
  <c r="J218" i="1"/>
  <c r="AL218" i="1" s="1"/>
  <c r="M218" i="1"/>
  <c r="BF218" i="1" s="1"/>
  <c r="Z218" i="1"/>
  <c r="AB218" i="1"/>
  <c r="AC218" i="1"/>
  <c r="AF218" i="1"/>
  <c r="AG218" i="1"/>
  <c r="AH218" i="1"/>
  <c r="AJ218" i="1"/>
  <c r="AK218" i="1"/>
  <c r="AO218" i="1"/>
  <c r="H218" i="1" s="1"/>
  <c r="AP218" i="1"/>
  <c r="I218" i="1" s="1"/>
  <c r="AX218" i="1"/>
  <c r="BD218" i="1"/>
  <c r="BH218" i="1"/>
  <c r="AD218" i="1" s="1"/>
  <c r="BI218" i="1"/>
  <c r="AE218" i="1" s="1"/>
  <c r="BJ218" i="1"/>
  <c r="J219" i="1"/>
  <c r="M219" i="1"/>
  <c r="BF219" i="1" s="1"/>
  <c r="Z219" i="1"/>
  <c r="AB219" i="1"/>
  <c r="AC219" i="1"/>
  <c r="AF219" i="1"/>
  <c r="AG219" i="1"/>
  <c r="AH219" i="1"/>
  <c r="AJ219" i="1"/>
  <c r="AK219" i="1"/>
  <c r="AL219" i="1"/>
  <c r="AO219" i="1"/>
  <c r="H219" i="1" s="1"/>
  <c r="AP219" i="1"/>
  <c r="I219" i="1" s="1"/>
  <c r="AX219" i="1"/>
  <c r="BD219" i="1"/>
  <c r="BH219" i="1"/>
  <c r="AD219" i="1" s="1"/>
  <c r="BI219" i="1"/>
  <c r="AE219" i="1" s="1"/>
  <c r="BJ219" i="1"/>
  <c r="J220" i="1"/>
  <c r="M220" i="1"/>
  <c r="Z220" i="1"/>
  <c r="AB220" i="1"/>
  <c r="AC220" i="1"/>
  <c r="AF220" i="1"/>
  <c r="AG220" i="1"/>
  <c r="AH220" i="1"/>
  <c r="AJ220" i="1"/>
  <c r="AK220" i="1"/>
  <c r="AL220" i="1"/>
  <c r="AO220" i="1"/>
  <c r="H220" i="1" s="1"/>
  <c r="AP220" i="1"/>
  <c r="I220" i="1" s="1"/>
  <c r="AX220" i="1"/>
  <c r="BD220" i="1"/>
  <c r="BF220" i="1"/>
  <c r="BI220" i="1"/>
  <c r="AE220" i="1" s="1"/>
  <c r="BJ220" i="1"/>
  <c r="J222" i="1"/>
  <c r="AL222" i="1" s="1"/>
  <c r="M222" i="1"/>
  <c r="Z222" i="1"/>
  <c r="AB222" i="1"/>
  <c r="AC222" i="1"/>
  <c r="AF222" i="1"/>
  <c r="AG222" i="1"/>
  <c r="AH222" i="1"/>
  <c r="AJ222" i="1"/>
  <c r="AK222" i="1"/>
  <c r="AO222" i="1"/>
  <c r="H222" i="1" s="1"/>
  <c r="AP222" i="1"/>
  <c r="I222" i="1" s="1"/>
  <c r="BD222" i="1"/>
  <c r="BF222" i="1"/>
  <c r="BH222" i="1"/>
  <c r="AD222" i="1" s="1"/>
  <c r="BJ222" i="1"/>
  <c r="J224" i="1"/>
  <c r="AL224" i="1" s="1"/>
  <c r="M224" i="1"/>
  <c r="BF224" i="1" s="1"/>
  <c r="Z224" i="1"/>
  <c r="AB224" i="1"/>
  <c r="AC224" i="1"/>
  <c r="AF224" i="1"/>
  <c r="AG224" i="1"/>
  <c r="AH224" i="1"/>
  <c r="AJ224" i="1"/>
  <c r="AK224" i="1"/>
  <c r="AO224" i="1"/>
  <c r="H224" i="1" s="1"/>
  <c r="AP224" i="1"/>
  <c r="I224" i="1" s="1"/>
  <c r="AX224" i="1"/>
  <c r="BD224" i="1"/>
  <c r="BH224" i="1"/>
  <c r="AD224" i="1" s="1"/>
  <c r="BI224" i="1"/>
  <c r="AE224" i="1" s="1"/>
  <c r="BJ224" i="1"/>
  <c r="J226" i="1"/>
  <c r="M226" i="1"/>
  <c r="BF226" i="1" s="1"/>
  <c r="Z226" i="1"/>
  <c r="AB226" i="1"/>
  <c r="AC226" i="1"/>
  <c r="AF226" i="1"/>
  <c r="AG226" i="1"/>
  <c r="AH226" i="1"/>
  <c r="AJ226" i="1"/>
  <c r="AK226" i="1"/>
  <c r="AL226" i="1"/>
  <c r="AO226" i="1"/>
  <c r="H226" i="1" s="1"/>
  <c r="AP226" i="1"/>
  <c r="I226" i="1" s="1"/>
  <c r="AX226" i="1"/>
  <c r="BD226" i="1"/>
  <c r="BH226" i="1"/>
  <c r="AD226" i="1" s="1"/>
  <c r="BI226" i="1"/>
  <c r="AE226" i="1" s="1"/>
  <c r="BJ226" i="1"/>
  <c r="J228" i="1"/>
  <c r="M228" i="1"/>
  <c r="M227" i="1" s="1"/>
  <c r="G35" i="2" s="1"/>
  <c r="Z228" i="1"/>
  <c r="AB228" i="1"/>
  <c r="AC228" i="1"/>
  <c r="AF228" i="1"/>
  <c r="AG228" i="1"/>
  <c r="AH228" i="1"/>
  <c r="AJ228" i="1"/>
  <c r="AK228" i="1"/>
  <c r="AL228" i="1"/>
  <c r="AO228" i="1"/>
  <c r="H228" i="1" s="1"/>
  <c r="AP228" i="1"/>
  <c r="I228" i="1" s="1"/>
  <c r="AW228" i="1"/>
  <c r="BD228" i="1"/>
  <c r="BH228" i="1"/>
  <c r="AD228" i="1" s="1"/>
  <c r="BI228" i="1"/>
  <c r="AE228" i="1" s="1"/>
  <c r="BJ228" i="1"/>
  <c r="J231" i="1"/>
  <c r="M231" i="1"/>
  <c r="BF231" i="1" s="1"/>
  <c r="Z231" i="1"/>
  <c r="AB231" i="1"/>
  <c r="AC231" i="1"/>
  <c r="AF231" i="1"/>
  <c r="AG231" i="1"/>
  <c r="AH231" i="1"/>
  <c r="AJ231" i="1"/>
  <c r="AK231" i="1"/>
  <c r="AL231" i="1"/>
  <c r="AO231" i="1"/>
  <c r="H231" i="1" s="1"/>
  <c r="AP231" i="1"/>
  <c r="I231" i="1" s="1"/>
  <c r="AW231" i="1"/>
  <c r="BD231" i="1"/>
  <c r="BH231" i="1"/>
  <c r="AD231" i="1" s="1"/>
  <c r="BI231" i="1"/>
  <c r="AE231" i="1" s="1"/>
  <c r="BJ231" i="1"/>
  <c r="J234" i="1"/>
  <c r="M234" i="1"/>
  <c r="Z234" i="1"/>
  <c r="AB234" i="1"/>
  <c r="AC234" i="1"/>
  <c r="AF234" i="1"/>
  <c r="AG234" i="1"/>
  <c r="AH234" i="1"/>
  <c r="AJ234" i="1"/>
  <c r="AK234" i="1"/>
  <c r="AL234" i="1"/>
  <c r="AO234" i="1"/>
  <c r="H234" i="1" s="1"/>
  <c r="AP234" i="1"/>
  <c r="I234" i="1" s="1"/>
  <c r="BD234" i="1"/>
  <c r="BF234" i="1"/>
  <c r="BI234" i="1"/>
  <c r="AE234" i="1" s="1"/>
  <c r="BJ234" i="1"/>
  <c r="J237" i="1"/>
  <c r="M237" i="1"/>
  <c r="Z237" i="1"/>
  <c r="AB237" i="1"/>
  <c r="AC237" i="1"/>
  <c r="AF237" i="1"/>
  <c r="AG237" i="1"/>
  <c r="AH237" i="1"/>
  <c r="AJ237" i="1"/>
  <c r="AK237" i="1"/>
  <c r="AL237" i="1"/>
  <c r="AO237" i="1"/>
  <c r="H237" i="1" s="1"/>
  <c r="AP237" i="1"/>
  <c r="I237" i="1" s="1"/>
  <c r="AX237" i="1"/>
  <c r="BD237" i="1"/>
  <c r="BF237" i="1"/>
  <c r="BI237" i="1"/>
  <c r="AE237" i="1" s="1"/>
  <c r="BJ237" i="1"/>
  <c r="J239" i="1"/>
  <c r="AL239" i="1" s="1"/>
  <c r="M239" i="1"/>
  <c r="Z239" i="1"/>
  <c r="AB239" i="1"/>
  <c r="AC239" i="1"/>
  <c r="AF239" i="1"/>
  <c r="AG239" i="1"/>
  <c r="AH239" i="1"/>
  <c r="AJ239" i="1"/>
  <c r="AK239" i="1"/>
  <c r="AO239" i="1"/>
  <c r="H239" i="1" s="1"/>
  <c r="AP239" i="1"/>
  <c r="I239" i="1" s="1"/>
  <c r="BD239" i="1"/>
  <c r="BF239" i="1"/>
  <c r="BH239" i="1"/>
  <c r="AD239" i="1" s="1"/>
  <c r="BJ239" i="1"/>
  <c r="J241" i="1"/>
  <c r="AL241" i="1" s="1"/>
  <c r="M241" i="1"/>
  <c r="BF241" i="1" s="1"/>
  <c r="Z241" i="1"/>
  <c r="AB241" i="1"/>
  <c r="AC241" i="1"/>
  <c r="AF241" i="1"/>
  <c r="AG241" i="1"/>
  <c r="AH241" i="1"/>
  <c r="AJ241" i="1"/>
  <c r="AK241" i="1"/>
  <c r="AO241" i="1"/>
  <c r="H241" i="1" s="1"/>
  <c r="AP241" i="1"/>
  <c r="I241" i="1" s="1"/>
  <c r="AX241" i="1"/>
  <c r="BD241" i="1"/>
  <c r="BH241" i="1"/>
  <c r="AD241" i="1" s="1"/>
  <c r="BI241" i="1"/>
  <c r="AE241" i="1" s="1"/>
  <c r="BJ241" i="1"/>
  <c r="J243" i="1"/>
  <c r="M243" i="1"/>
  <c r="BF243" i="1" s="1"/>
  <c r="Z243" i="1"/>
  <c r="AB243" i="1"/>
  <c r="AC243" i="1"/>
  <c r="AF243" i="1"/>
  <c r="AG243" i="1"/>
  <c r="AH243" i="1"/>
  <c r="AJ243" i="1"/>
  <c r="AK243" i="1"/>
  <c r="AL243" i="1"/>
  <c r="AO243" i="1"/>
  <c r="H243" i="1" s="1"/>
  <c r="AP243" i="1"/>
  <c r="I243" i="1" s="1"/>
  <c r="AX243" i="1"/>
  <c r="BD243" i="1"/>
  <c r="BH243" i="1"/>
  <c r="AD243" i="1" s="1"/>
  <c r="BI243" i="1"/>
  <c r="AE243" i="1" s="1"/>
  <c r="BJ243" i="1"/>
  <c r="J245" i="1"/>
  <c r="J244" i="1" s="1"/>
  <c r="F37" i="2" s="1"/>
  <c r="I37" i="2" s="1"/>
  <c r="M245" i="1"/>
  <c r="M244" i="1" s="1"/>
  <c r="G37" i="2" s="1"/>
  <c r="Z245" i="1"/>
  <c r="AB245" i="1"/>
  <c r="AC245" i="1"/>
  <c r="AF245" i="1"/>
  <c r="AG245" i="1"/>
  <c r="AH245" i="1"/>
  <c r="AJ245" i="1"/>
  <c r="AS244" i="1" s="1"/>
  <c r="AK245" i="1"/>
  <c r="AT244" i="1" s="1"/>
  <c r="AL245" i="1"/>
  <c r="AU244" i="1" s="1"/>
  <c r="AO245" i="1"/>
  <c r="H245" i="1" s="1"/>
  <c r="AP245" i="1"/>
  <c r="I245" i="1" s="1"/>
  <c r="I244" i="1" s="1"/>
  <c r="E37" i="2" s="1"/>
  <c r="AW245" i="1"/>
  <c r="BD245" i="1"/>
  <c r="BH245" i="1"/>
  <c r="AD245" i="1" s="1"/>
  <c r="BI245" i="1"/>
  <c r="AE245" i="1" s="1"/>
  <c r="BJ245" i="1"/>
  <c r="J246" i="1"/>
  <c r="M246" i="1"/>
  <c r="Z246" i="1"/>
  <c r="AB246" i="1"/>
  <c r="AC246" i="1"/>
  <c r="AF246" i="1"/>
  <c r="AG246" i="1"/>
  <c r="AH246" i="1"/>
  <c r="AJ246" i="1"/>
  <c r="AK246" i="1"/>
  <c r="AL246" i="1"/>
  <c r="AO246" i="1"/>
  <c r="H246" i="1" s="1"/>
  <c r="AP246" i="1"/>
  <c r="I246" i="1" s="1"/>
  <c r="BD246" i="1"/>
  <c r="BF246" i="1"/>
  <c r="BI246" i="1"/>
  <c r="AE246" i="1" s="1"/>
  <c r="BJ246" i="1"/>
  <c r="M248" i="1"/>
  <c r="G38" i="2" s="1"/>
  <c r="J249" i="1"/>
  <c r="M249" i="1"/>
  <c r="Z249" i="1"/>
  <c r="AB249" i="1"/>
  <c r="AC249" i="1"/>
  <c r="AF249" i="1"/>
  <c r="AG249" i="1"/>
  <c r="AH249" i="1"/>
  <c r="AJ249" i="1"/>
  <c r="AK249" i="1"/>
  <c r="AL249" i="1"/>
  <c r="AO249" i="1"/>
  <c r="H249" i="1" s="1"/>
  <c r="AP249" i="1"/>
  <c r="I249" i="1" s="1"/>
  <c r="AX249" i="1"/>
  <c r="BD249" i="1"/>
  <c r="BF249" i="1"/>
  <c r="BI249" i="1"/>
  <c r="AE249" i="1" s="1"/>
  <c r="BJ249" i="1"/>
  <c r="J251" i="1"/>
  <c r="AL251" i="1" s="1"/>
  <c r="M251" i="1"/>
  <c r="Z251" i="1"/>
  <c r="AB251" i="1"/>
  <c r="AC251" i="1"/>
  <c r="AF251" i="1"/>
  <c r="AG251" i="1"/>
  <c r="AH251" i="1"/>
  <c r="AJ251" i="1"/>
  <c r="AK251" i="1"/>
  <c r="AO251" i="1"/>
  <c r="H251" i="1" s="1"/>
  <c r="AP251" i="1"/>
  <c r="I251" i="1" s="1"/>
  <c r="BD251" i="1"/>
  <c r="BF251" i="1"/>
  <c r="BH251" i="1"/>
  <c r="AD251" i="1" s="1"/>
  <c r="BJ251" i="1"/>
  <c r="M253" i="1"/>
  <c r="J254" i="1"/>
  <c r="J253" i="1" s="1"/>
  <c r="F39" i="2" s="1"/>
  <c r="I39" i="2" s="1"/>
  <c r="M254" i="1"/>
  <c r="Z254" i="1"/>
  <c r="AD254" i="1"/>
  <c r="AE254" i="1"/>
  <c r="AF254" i="1"/>
  <c r="AG254" i="1"/>
  <c r="AH254" i="1"/>
  <c r="AJ254" i="1"/>
  <c r="AS253" i="1" s="1"/>
  <c r="AK254" i="1"/>
  <c r="AT253" i="1" s="1"/>
  <c r="AO254" i="1"/>
  <c r="H254" i="1" s="1"/>
  <c r="H253" i="1" s="1"/>
  <c r="D39" i="2" s="1"/>
  <c r="AP254" i="1"/>
  <c r="I254" i="1" s="1"/>
  <c r="I253" i="1" s="1"/>
  <c r="E39" i="2" s="1"/>
  <c r="BD254" i="1"/>
  <c r="BF254" i="1"/>
  <c r="BH254" i="1"/>
  <c r="AB254" i="1" s="1"/>
  <c r="BJ254" i="1"/>
  <c r="J258" i="1"/>
  <c r="AL258" i="1" s="1"/>
  <c r="M258" i="1"/>
  <c r="Z258" i="1"/>
  <c r="AD258" i="1"/>
  <c r="AE258" i="1"/>
  <c r="AF258" i="1"/>
  <c r="AG258" i="1"/>
  <c r="AH258" i="1"/>
  <c r="AJ258" i="1"/>
  <c r="AK258" i="1"/>
  <c r="AO258" i="1"/>
  <c r="H258" i="1" s="1"/>
  <c r="AP258" i="1"/>
  <c r="I258" i="1" s="1"/>
  <c r="BD258" i="1"/>
  <c r="BF258" i="1"/>
  <c r="BH258" i="1"/>
  <c r="AB258" i="1" s="1"/>
  <c r="BJ258" i="1"/>
  <c r="J260" i="1"/>
  <c r="AL260" i="1" s="1"/>
  <c r="M260" i="1"/>
  <c r="BF260" i="1" s="1"/>
  <c r="Z260" i="1"/>
  <c r="AD260" i="1"/>
  <c r="AE260" i="1"/>
  <c r="AF260" i="1"/>
  <c r="AG260" i="1"/>
  <c r="AH260" i="1"/>
  <c r="AJ260" i="1"/>
  <c r="AK260" i="1"/>
  <c r="AO260" i="1"/>
  <c r="H260" i="1" s="1"/>
  <c r="AP260" i="1"/>
  <c r="I260" i="1" s="1"/>
  <c r="AX260" i="1"/>
  <c r="BD260" i="1"/>
  <c r="BH260" i="1"/>
  <c r="AB260" i="1" s="1"/>
  <c r="BI260" i="1"/>
  <c r="AC260" i="1" s="1"/>
  <c r="BJ260" i="1"/>
  <c r="J262" i="1"/>
  <c r="M262" i="1"/>
  <c r="BF262" i="1" s="1"/>
  <c r="Z262" i="1"/>
  <c r="AD262" i="1"/>
  <c r="AE262" i="1"/>
  <c r="AF262" i="1"/>
  <c r="AG262" i="1"/>
  <c r="AH262" i="1"/>
  <c r="AJ262" i="1"/>
  <c r="AK262" i="1"/>
  <c r="AL262" i="1"/>
  <c r="AO262" i="1"/>
  <c r="H262" i="1" s="1"/>
  <c r="AP262" i="1"/>
  <c r="I262" i="1" s="1"/>
  <c r="AX262" i="1"/>
  <c r="BD262" i="1"/>
  <c r="BH262" i="1"/>
  <c r="AB262" i="1" s="1"/>
  <c r="BI262" i="1"/>
  <c r="AC262" i="1" s="1"/>
  <c r="BJ262" i="1"/>
  <c r="J264" i="1"/>
  <c r="M264" i="1"/>
  <c r="Z264" i="1"/>
  <c r="AB264" i="1"/>
  <c r="AC264" i="1"/>
  <c r="AD264" i="1"/>
  <c r="AE264" i="1"/>
  <c r="AH264" i="1"/>
  <c r="AJ264" i="1"/>
  <c r="AK264" i="1"/>
  <c r="AL264" i="1"/>
  <c r="AO264" i="1"/>
  <c r="H264" i="1" s="1"/>
  <c r="AP264" i="1"/>
  <c r="I264" i="1" s="1"/>
  <c r="AX264" i="1"/>
  <c r="BD264" i="1"/>
  <c r="BF264" i="1"/>
  <c r="BI264" i="1"/>
  <c r="AG264" i="1" s="1"/>
  <c r="BJ264" i="1"/>
  <c r="J266" i="1"/>
  <c r="M266" i="1"/>
  <c r="Z266" i="1"/>
  <c r="AD266" i="1"/>
  <c r="AE266" i="1"/>
  <c r="AF266" i="1"/>
  <c r="AG266" i="1"/>
  <c r="AH266" i="1"/>
  <c r="AJ266" i="1"/>
  <c r="AK266" i="1"/>
  <c r="AL266" i="1"/>
  <c r="AO266" i="1"/>
  <c r="H266" i="1" s="1"/>
  <c r="AP266" i="1"/>
  <c r="I266" i="1" s="1"/>
  <c r="AX266" i="1"/>
  <c r="BD266" i="1"/>
  <c r="BF266" i="1"/>
  <c r="BI266" i="1"/>
  <c r="AC266" i="1" s="1"/>
  <c r="BJ266" i="1"/>
  <c r="J269" i="1"/>
  <c r="AL269" i="1" s="1"/>
  <c r="M269" i="1"/>
  <c r="Z269" i="1"/>
  <c r="AD269" i="1"/>
  <c r="AE269" i="1"/>
  <c r="AF269" i="1"/>
  <c r="AG269" i="1"/>
  <c r="AH269" i="1"/>
  <c r="AJ269" i="1"/>
  <c r="AK269" i="1"/>
  <c r="AO269" i="1"/>
  <c r="H269" i="1" s="1"/>
  <c r="AP269" i="1"/>
  <c r="I269" i="1" s="1"/>
  <c r="BD269" i="1"/>
  <c r="BF269" i="1"/>
  <c r="BH269" i="1"/>
  <c r="AB269" i="1" s="1"/>
  <c r="BJ269" i="1"/>
  <c r="J271" i="1"/>
  <c r="AL271" i="1" s="1"/>
  <c r="M271" i="1"/>
  <c r="BF271" i="1" s="1"/>
  <c r="Z271" i="1"/>
  <c r="AD271" i="1"/>
  <c r="AE271" i="1"/>
  <c r="AF271" i="1"/>
  <c r="AG271" i="1"/>
  <c r="AH271" i="1"/>
  <c r="AJ271" i="1"/>
  <c r="AK271" i="1"/>
  <c r="AO271" i="1"/>
  <c r="H271" i="1" s="1"/>
  <c r="AP271" i="1"/>
  <c r="I271" i="1" s="1"/>
  <c r="AX271" i="1"/>
  <c r="BD271" i="1"/>
  <c r="BH271" i="1"/>
  <c r="AB271" i="1" s="1"/>
  <c r="BI271" i="1"/>
  <c r="AC271" i="1" s="1"/>
  <c r="BJ271" i="1"/>
  <c r="J274" i="1"/>
  <c r="M274" i="1"/>
  <c r="BF274" i="1" s="1"/>
  <c r="Z274" i="1"/>
  <c r="AD274" i="1"/>
  <c r="AE274" i="1"/>
  <c r="AF274" i="1"/>
  <c r="AG274" i="1"/>
  <c r="AH274" i="1"/>
  <c r="AJ274" i="1"/>
  <c r="AK274" i="1"/>
  <c r="AL274" i="1"/>
  <c r="AO274" i="1"/>
  <c r="H274" i="1" s="1"/>
  <c r="AP274" i="1"/>
  <c r="I274" i="1" s="1"/>
  <c r="AX274" i="1"/>
  <c r="BD274" i="1"/>
  <c r="BH274" i="1"/>
  <c r="AB274" i="1" s="1"/>
  <c r="BI274" i="1"/>
  <c r="AC274" i="1" s="1"/>
  <c r="BJ274" i="1"/>
  <c r="J275" i="1"/>
  <c r="M275" i="1"/>
  <c r="Z275" i="1"/>
  <c r="AD275" i="1"/>
  <c r="AE275" i="1"/>
  <c r="AF275" i="1"/>
  <c r="AG275" i="1"/>
  <c r="AH275" i="1"/>
  <c r="AJ275" i="1"/>
  <c r="AK275" i="1"/>
  <c r="AL275" i="1"/>
  <c r="AO275" i="1"/>
  <c r="H275" i="1" s="1"/>
  <c r="AP275" i="1"/>
  <c r="I275" i="1" s="1"/>
  <c r="AX275" i="1"/>
  <c r="BD275" i="1"/>
  <c r="BF275" i="1"/>
  <c r="BI275" i="1"/>
  <c r="AC275" i="1" s="1"/>
  <c r="BJ275" i="1"/>
  <c r="J277" i="1"/>
  <c r="AL277" i="1" s="1"/>
  <c r="M277" i="1"/>
  <c r="Z277" i="1"/>
  <c r="AD277" i="1"/>
  <c r="AE277" i="1"/>
  <c r="AF277" i="1"/>
  <c r="AG277" i="1"/>
  <c r="AH277" i="1"/>
  <c r="AJ277" i="1"/>
  <c r="AK277" i="1"/>
  <c r="AO277" i="1"/>
  <c r="H277" i="1" s="1"/>
  <c r="AP277" i="1"/>
  <c r="I277" i="1" s="1"/>
  <c r="BD277" i="1"/>
  <c r="BF277" i="1"/>
  <c r="BH277" i="1"/>
  <c r="AB277" i="1" s="1"/>
  <c r="BJ277" i="1"/>
  <c r="M279" i="1"/>
  <c r="G42" i="2" s="1"/>
  <c r="J280" i="1"/>
  <c r="J279" i="1" s="1"/>
  <c r="F42" i="2" s="1"/>
  <c r="I42" i="2" s="1"/>
  <c r="M280" i="1"/>
  <c r="Z280" i="1"/>
  <c r="AD280" i="1"/>
  <c r="AE280" i="1"/>
  <c r="AF280" i="1"/>
  <c r="AG280" i="1"/>
  <c r="AH280" i="1"/>
  <c r="AJ280" i="1"/>
  <c r="AS279" i="1" s="1"/>
  <c r="AK280" i="1"/>
  <c r="AT279" i="1" s="1"/>
  <c r="AO280" i="1"/>
  <c r="H280" i="1" s="1"/>
  <c r="H279" i="1" s="1"/>
  <c r="D42" i="2" s="1"/>
  <c r="AP280" i="1"/>
  <c r="I280" i="1" s="1"/>
  <c r="I279" i="1" s="1"/>
  <c r="E42" i="2" s="1"/>
  <c r="BD280" i="1"/>
  <c r="BF280" i="1"/>
  <c r="BH280" i="1"/>
  <c r="AB280" i="1" s="1"/>
  <c r="BJ280" i="1"/>
  <c r="M282" i="1"/>
  <c r="J283" i="1"/>
  <c r="J282" i="1" s="1"/>
  <c r="F43" i="2" s="1"/>
  <c r="I43" i="2" s="1"/>
  <c r="M283" i="1"/>
  <c r="AB283" i="1"/>
  <c r="AC283" i="1"/>
  <c r="AD283" i="1"/>
  <c r="AE283" i="1"/>
  <c r="AF283" i="1"/>
  <c r="AG283" i="1"/>
  <c r="AH283" i="1"/>
  <c r="AJ283" i="1"/>
  <c r="AS282" i="1" s="1"/>
  <c r="AK283" i="1"/>
  <c r="AT282" i="1" s="1"/>
  <c r="AO283" i="1"/>
  <c r="H283" i="1" s="1"/>
  <c r="H282" i="1" s="1"/>
  <c r="D43" i="2" s="1"/>
  <c r="AP283" i="1"/>
  <c r="I283" i="1" s="1"/>
  <c r="I282" i="1" s="1"/>
  <c r="E43" i="2" s="1"/>
  <c r="AX283" i="1"/>
  <c r="BD283" i="1"/>
  <c r="BF283" i="1"/>
  <c r="BI283" i="1"/>
  <c r="BJ283" i="1"/>
  <c r="Z283" i="1" s="1"/>
  <c r="J285" i="1"/>
  <c r="J284" i="1" s="1"/>
  <c r="M285" i="1"/>
  <c r="M284" i="1" s="1"/>
  <c r="G44" i="2" s="1"/>
  <c r="Z285" i="1"/>
  <c r="AB285" i="1"/>
  <c r="AC285" i="1"/>
  <c r="AD285" i="1"/>
  <c r="AE285" i="1"/>
  <c r="AH285" i="1"/>
  <c r="AJ285" i="1"/>
  <c r="AS284" i="1" s="1"/>
  <c r="AK285" i="1"/>
  <c r="AL285" i="1"/>
  <c r="AU284" i="1" s="1"/>
  <c r="AO285" i="1"/>
  <c r="AW285" i="1" s="1"/>
  <c r="AP285" i="1"/>
  <c r="I285" i="1" s="1"/>
  <c r="I284" i="1" s="1"/>
  <c r="E44" i="2" s="1"/>
  <c r="BD285" i="1"/>
  <c r="BF285" i="1"/>
  <c r="BH285" i="1"/>
  <c r="AF285" i="1" s="1"/>
  <c r="BI285" i="1"/>
  <c r="AG285" i="1" s="1"/>
  <c r="BJ285" i="1"/>
  <c r="M287" i="1"/>
  <c r="G45" i="2" s="1"/>
  <c r="J288" i="1"/>
  <c r="M288" i="1"/>
  <c r="Z288" i="1"/>
  <c r="AB288" i="1"/>
  <c r="AC288" i="1"/>
  <c r="AD288" i="1"/>
  <c r="AE288" i="1"/>
  <c r="AH288" i="1"/>
  <c r="AJ288" i="1"/>
  <c r="AK288" i="1"/>
  <c r="AL288" i="1"/>
  <c r="AO288" i="1"/>
  <c r="H288" i="1" s="1"/>
  <c r="AP288" i="1"/>
  <c r="I288" i="1" s="1"/>
  <c r="AX288" i="1"/>
  <c r="BD288" i="1"/>
  <c r="BF288" i="1"/>
  <c r="BI288" i="1"/>
  <c r="AG288" i="1" s="1"/>
  <c r="BJ288" i="1"/>
  <c r="J290" i="1"/>
  <c r="J287" i="1" s="1"/>
  <c r="F45" i="2" s="1"/>
  <c r="I45" i="2" s="1"/>
  <c r="M290" i="1"/>
  <c r="Z290" i="1"/>
  <c r="AD290" i="1"/>
  <c r="AE290" i="1"/>
  <c r="AF290" i="1"/>
  <c r="AG290" i="1"/>
  <c r="AH290" i="1"/>
  <c r="AJ290" i="1"/>
  <c r="AK290" i="1"/>
  <c r="AO290" i="1"/>
  <c r="H290" i="1" s="1"/>
  <c r="AP290" i="1"/>
  <c r="I290" i="1" s="1"/>
  <c r="BD290" i="1"/>
  <c r="BF290" i="1"/>
  <c r="BH290" i="1"/>
  <c r="AB290" i="1" s="1"/>
  <c r="BJ290" i="1"/>
  <c r="J293" i="1"/>
  <c r="AL293" i="1" s="1"/>
  <c r="M293" i="1"/>
  <c r="AB293" i="1"/>
  <c r="AC293" i="1"/>
  <c r="AD293" i="1"/>
  <c r="AE293" i="1"/>
  <c r="AF293" i="1"/>
  <c r="AG293" i="1"/>
  <c r="AH293" i="1"/>
  <c r="AJ293" i="1"/>
  <c r="AK293" i="1"/>
  <c r="AO293" i="1"/>
  <c r="H293" i="1" s="1"/>
  <c r="AP293" i="1"/>
  <c r="I293" i="1" s="1"/>
  <c r="AX293" i="1"/>
  <c r="BD293" i="1"/>
  <c r="BF293" i="1"/>
  <c r="BI293" i="1"/>
  <c r="BJ293" i="1"/>
  <c r="Z293" i="1" s="1"/>
  <c r="J295" i="1"/>
  <c r="M295" i="1"/>
  <c r="M292" i="1" s="1"/>
  <c r="G46" i="2" s="1"/>
  <c r="AB295" i="1"/>
  <c r="AC295" i="1"/>
  <c r="AD295" i="1"/>
  <c r="AE295" i="1"/>
  <c r="AF295" i="1"/>
  <c r="AG295" i="1"/>
  <c r="AH295" i="1"/>
  <c r="AJ295" i="1"/>
  <c r="AK295" i="1"/>
  <c r="AL295" i="1"/>
  <c r="AO295" i="1"/>
  <c r="BH295" i="1" s="1"/>
  <c r="AP295" i="1"/>
  <c r="I295" i="1" s="1"/>
  <c r="BD295" i="1"/>
  <c r="BF295" i="1"/>
  <c r="BI295" i="1"/>
  <c r="BJ295" i="1"/>
  <c r="Z295" i="1" s="1"/>
  <c r="H297" i="1"/>
  <c r="J297" i="1"/>
  <c r="M297" i="1"/>
  <c r="Z297" i="1"/>
  <c r="AB297" i="1"/>
  <c r="AC297" i="1"/>
  <c r="AD297" i="1"/>
  <c r="AE297" i="1"/>
  <c r="AF297" i="1"/>
  <c r="AG297" i="1"/>
  <c r="AH297" i="1"/>
  <c r="AJ297" i="1"/>
  <c r="AK297" i="1"/>
  <c r="AL297" i="1"/>
  <c r="AO297" i="1"/>
  <c r="AP297" i="1"/>
  <c r="I297" i="1" s="1"/>
  <c r="AW297" i="1"/>
  <c r="BD297" i="1"/>
  <c r="BF297" i="1"/>
  <c r="BH297" i="1"/>
  <c r="BI297" i="1"/>
  <c r="BJ297" i="1"/>
  <c r="J299" i="1"/>
  <c r="M299" i="1"/>
  <c r="AB299" i="1"/>
  <c r="AC299" i="1"/>
  <c r="AD299" i="1"/>
  <c r="AE299" i="1"/>
  <c r="AF299" i="1"/>
  <c r="AG299" i="1"/>
  <c r="AH299" i="1"/>
  <c r="AJ299" i="1"/>
  <c r="AK299" i="1"/>
  <c r="AL299" i="1"/>
  <c r="AO299" i="1"/>
  <c r="BH299" i="1" s="1"/>
  <c r="AP299" i="1"/>
  <c r="I299" i="1" s="1"/>
  <c r="BD299" i="1"/>
  <c r="BF299" i="1"/>
  <c r="BI299" i="1"/>
  <c r="BJ299" i="1"/>
  <c r="Z299" i="1" s="1"/>
  <c r="H300" i="1"/>
  <c r="J300" i="1"/>
  <c r="M300" i="1"/>
  <c r="Z300" i="1"/>
  <c r="AB300" i="1"/>
  <c r="AC300" i="1"/>
  <c r="AD300" i="1"/>
  <c r="AE300" i="1"/>
  <c r="AF300" i="1"/>
  <c r="AG300" i="1"/>
  <c r="AH300" i="1"/>
  <c r="AJ300" i="1"/>
  <c r="AK300" i="1"/>
  <c r="AL300" i="1"/>
  <c r="AO300" i="1"/>
  <c r="AP300" i="1"/>
  <c r="I300" i="1" s="1"/>
  <c r="AW300" i="1"/>
  <c r="BD300" i="1"/>
  <c r="BF300" i="1"/>
  <c r="BH300" i="1"/>
  <c r="BI300" i="1"/>
  <c r="BJ300" i="1"/>
  <c r="J301" i="1"/>
  <c r="AL301" i="1" s="1"/>
  <c r="M301" i="1"/>
  <c r="AB301" i="1"/>
  <c r="AC301" i="1"/>
  <c r="AD301" i="1"/>
  <c r="AE301" i="1"/>
  <c r="AF301" i="1"/>
  <c r="AG301" i="1"/>
  <c r="AH301" i="1"/>
  <c r="AJ301" i="1"/>
  <c r="AK301" i="1"/>
  <c r="AO301" i="1"/>
  <c r="H301" i="1" s="1"/>
  <c r="AP301" i="1"/>
  <c r="I301" i="1" s="1"/>
  <c r="AW301" i="1"/>
  <c r="BD301" i="1"/>
  <c r="BF301" i="1"/>
  <c r="BH301" i="1"/>
  <c r="BJ301" i="1"/>
  <c r="Z301" i="1" s="1"/>
  <c r="I303" i="1"/>
  <c r="J303" i="1"/>
  <c r="AL303" i="1" s="1"/>
  <c r="M303" i="1"/>
  <c r="AB303" i="1"/>
  <c r="AC303" i="1"/>
  <c r="AD303" i="1"/>
  <c r="AE303" i="1"/>
  <c r="AF303" i="1"/>
  <c r="AG303" i="1"/>
  <c r="AH303" i="1"/>
  <c r="AJ303" i="1"/>
  <c r="AK303" i="1"/>
  <c r="AO303" i="1"/>
  <c r="H303" i="1" s="1"/>
  <c r="AP303" i="1"/>
  <c r="AX303" i="1"/>
  <c r="BD303" i="1"/>
  <c r="BF303" i="1"/>
  <c r="BI303" i="1"/>
  <c r="BJ303" i="1"/>
  <c r="Z303" i="1" s="1"/>
  <c r="B2" i="2"/>
  <c r="E2" i="2"/>
  <c r="E4" i="2"/>
  <c r="B8" i="2"/>
  <c r="E8" i="2"/>
  <c r="G26" i="2"/>
  <c r="G39" i="2"/>
  <c r="G43" i="2"/>
  <c r="C2" i="5"/>
  <c r="F2" i="5"/>
  <c r="C4" i="5"/>
  <c r="F4" i="5"/>
  <c r="C6" i="5"/>
  <c r="F6" i="5"/>
  <c r="C8" i="5"/>
  <c r="F8" i="5"/>
  <c r="C10" i="5"/>
  <c r="F10" i="5"/>
  <c r="I10" i="5"/>
  <c r="I15" i="5"/>
  <c r="I16" i="5"/>
  <c r="F15" i="4" s="1"/>
  <c r="I17" i="5"/>
  <c r="F16" i="4" s="1"/>
  <c r="F22" i="4" s="1"/>
  <c r="I21" i="5"/>
  <c r="I14" i="4" s="1"/>
  <c r="I22" i="5"/>
  <c r="I15" i="4" s="1"/>
  <c r="I23" i="5"/>
  <c r="I16" i="4" s="1"/>
  <c r="I24" i="5"/>
  <c r="I17" i="4" s="1"/>
  <c r="I25" i="5"/>
  <c r="I18" i="4" s="1"/>
  <c r="I26" i="5"/>
  <c r="I19" i="4" s="1"/>
  <c r="I27" i="5"/>
  <c r="I35" i="5"/>
  <c r="I36" i="5"/>
  <c r="I24" i="4" s="1"/>
  <c r="C2" i="3"/>
  <c r="F2" i="3"/>
  <c r="F4" i="3"/>
  <c r="C8" i="3"/>
  <c r="F8" i="3"/>
  <c r="H175" i="1" l="1"/>
  <c r="D30" i="2" s="1"/>
  <c r="I18" i="5"/>
  <c r="F29" i="5" s="1"/>
  <c r="AV301" i="1"/>
  <c r="M265" i="1"/>
  <c r="G41" i="2" s="1"/>
  <c r="M236" i="1"/>
  <c r="G36" i="2" s="1"/>
  <c r="BC283" i="1"/>
  <c r="M257" i="1"/>
  <c r="G40" i="2" s="1"/>
  <c r="AT185" i="1"/>
  <c r="M175" i="1"/>
  <c r="G30" i="2" s="1"/>
  <c r="M142" i="1"/>
  <c r="G27" i="2" s="1"/>
  <c r="BF143" i="1"/>
  <c r="I135" i="1"/>
  <c r="AX135" i="1"/>
  <c r="BI135" i="1"/>
  <c r="AE135" i="1" s="1"/>
  <c r="BH123" i="1"/>
  <c r="AB123" i="1" s="1"/>
  <c r="I121" i="1"/>
  <c r="AX121" i="1"/>
  <c r="BI121" i="1"/>
  <c r="AC121" i="1" s="1"/>
  <c r="H119" i="1"/>
  <c r="H118" i="1" s="1"/>
  <c r="D23" i="2" s="1"/>
  <c r="AW119" i="1"/>
  <c r="BH119" i="1"/>
  <c r="AB119" i="1" s="1"/>
  <c r="I116" i="1"/>
  <c r="BI116" i="1"/>
  <c r="AC116" i="1" s="1"/>
  <c r="H73" i="1"/>
  <c r="AW73" i="1"/>
  <c r="AV73" i="1" s="1"/>
  <c r="BH73" i="1"/>
  <c r="AB73" i="1" s="1"/>
  <c r="BI66" i="1"/>
  <c r="AC66" i="1" s="1"/>
  <c r="BI54" i="1"/>
  <c r="AC54" i="1" s="1"/>
  <c r="I51" i="1"/>
  <c r="AX51" i="1"/>
  <c r="BI51" i="1"/>
  <c r="AC51" i="1" s="1"/>
  <c r="BH37" i="1"/>
  <c r="AB37" i="1" s="1"/>
  <c r="I30" i="1"/>
  <c r="AX30" i="1"/>
  <c r="BI30" i="1"/>
  <c r="AC30" i="1" s="1"/>
  <c r="I22" i="4"/>
  <c r="AW299" i="1"/>
  <c r="H299" i="1"/>
  <c r="H292" i="1" s="1"/>
  <c r="D46" i="2" s="1"/>
  <c r="AW295" i="1"/>
  <c r="H295" i="1"/>
  <c r="AW293" i="1"/>
  <c r="AL290" i="1"/>
  <c r="AU287" i="1" s="1"/>
  <c r="BH283" i="1"/>
  <c r="AW283" i="1"/>
  <c r="AV283" i="1" s="1"/>
  <c r="AL280" i="1"/>
  <c r="AU279" i="1" s="1"/>
  <c r="AL254" i="1"/>
  <c r="AU253" i="1" s="1"/>
  <c r="AW246" i="1"/>
  <c r="AW234" i="1"/>
  <c r="BF196" i="1"/>
  <c r="BF186" i="1"/>
  <c r="M182" i="1"/>
  <c r="G31" i="2" s="1"/>
  <c r="AS175" i="1"/>
  <c r="J175" i="1"/>
  <c r="F30" i="2" s="1"/>
  <c r="I30" i="2" s="1"/>
  <c r="BF161" i="1"/>
  <c r="BF151" i="1"/>
  <c r="AU149" i="1"/>
  <c r="AU131" i="1"/>
  <c r="I113" i="1"/>
  <c r="I107" i="1" s="1"/>
  <c r="E22" i="2" s="1"/>
  <c r="AX113" i="1"/>
  <c r="BI113" i="1"/>
  <c r="AC113" i="1" s="1"/>
  <c r="H110" i="1"/>
  <c r="BH110" i="1"/>
  <c r="AB110" i="1" s="1"/>
  <c r="M101" i="1"/>
  <c r="G21" i="2" s="1"/>
  <c r="I81" i="1"/>
  <c r="BI81" i="1"/>
  <c r="AC81" i="1" s="1"/>
  <c r="M56" i="1"/>
  <c r="G16" i="2" s="1"/>
  <c r="BF57" i="1"/>
  <c r="AX43" i="1"/>
  <c r="BI43" i="1"/>
  <c r="AC43" i="1" s="1"/>
  <c r="I43" i="1"/>
  <c r="H35" i="1"/>
  <c r="BH35" i="1"/>
  <c r="AB35" i="1" s="1"/>
  <c r="M21" i="1"/>
  <c r="G13" i="2" s="1"/>
  <c r="BF22" i="1"/>
  <c r="M12" i="1"/>
  <c r="G11" i="2" s="1"/>
  <c r="BF13" i="1"/>
  <c r="AU175" i="1"/>
  <c r="H147" i="1"/>
  <c r="H142" i="1" s="1"/>
  <c r="D27" i="2" s="1"/>
  <c r="BH147" i="1"/>
  <c r="AD147" i="1" s="1"/>
  <c r="I138" i="1"/>
  <c r="AX138" i="1"/>
  <c r="BI138" i="1"/>
  <c r="AE138" i="1" s="1"/>
  <c r="I123" i="1"/>
  <c r="I122" i="1" s="1"/>
  <c r="E24" i="2" s="1"/>
  <c r="AX123" i="1"/>
  <c r="BI123" i="1"/>
  <c r="AC123" i="1" s="1"/>
  <c r="I119" i="1"/>
  <c r="I118" i="1" s="1"/>
  <c r="E23" i="2" s="1"/>
  <c r="AX119" i="1"/>
  <c r="BC119" i="1" s="1"/>
  <c r="BI119" i="1"/>
  <c r="AC119" i="1" s="1"/>
  <c r="BH105" i="1"/>
  <c r="AB105" i="1" s="1"/>
  <c r="AW105" i="1"/>
  <c r="H105" i="1"/>
  <c r="BH100" i="1"/>
  <c r="AB100" i="1" s="1"/>
  <c r="AW100" i="1"/>
  <c r="H100" i="1"/>
  <c r="M93" i="1"/>
  <c r="G20" i="2" s="1"/>
  <c r="BF94" i="1"/>
  <c r="I37" i="1"/>
  <c r="AX37" i="1"/>
  <c r="BI37" i="1"/>
  <c r="AC37" i="1" s="1"/>
  <c r="M24" i="1"/>
  <c r="G14" i="2" s="1"/>
  <c r="BF25" i="1"/>
  <c r="M18" i="1"/>
  <c r="G12" i="2" s="1"/>
  <c r="BF19" i="1"/>
  <c r="BH293" i="1"/>
  <c r="AL283" i="1"/>
  <c r="AU282" i="1" s="1"/>
  <c r="BH138" i="1"/>
  <c r="AD138" i="1" s="1"/>
  <c r="BI96" i="1"/>
  <c r="AC96" i="1" s="1"/>
  <c r="H77" i="1"/>
  <c r="BH77" i="1"/>
  <c r="AB77" i="1" s="1"/>
  <c r="M72" i="1"/>
  <c r="G18" i="2" s="1"/>
  <c r="BH303" i="1"/>
  <c r="BI301" i="1"/>
  <c r="AX301" i="1"/>
  <c r="BC301" i="1" s="1"/>
  <c r="BI290" i="1"/>
  <c r="AC290" i="1" s="1"/>
  <c r="AX290" i="1"/>
  <c r="BH288" i="1"/>
  <c r="AF288" i="1" s="1"/>
  <c r="BI280" i="1"/>
  <c r="AC280" i="1" s="1"/>
  <c r="AX280" i="1"/>
  <c r="BI277" i="1"/>
  <c r="AC277" i="1" s="1"/>
  <c r="AX277" i="1"/>
  <c r="BH275" i="1"/>
  <c r="AB275" i="1" s="1"/>
  <c r="BI269" i="1"/>
  <c r="AC269" i="1" s="1"/>
  <c r="AX269" i="1"/>
  <c r="BH266" i="1"/>
  <c r="AB266" i="1" s="1"/>
  <c r="BH264" i="1"/>
  <c r="AF264" i="1" s="1"/>
  <c r="BI258" i="1"/>
  <c r="AC258" i="1" s="1"/>
  <c r="AX258" i="1"/>
  <c r="BI254" i="1"/>
  <c r="AC254" i="1" s="1"/>
  <c r="AX254" i="1"/>
  <c r="BI251" i="1"/>
  <c r="AE251" i="1" s="1"/>
  <c r="AX251" i="1"/>
  <c r="BH249" i="1"/>
  <c r="AD249" i="1" s="1"/>
  <c r="J248" i="1"/>
  <c r="F38" i="2" s="1"/>
  <c r="I38" i="2" s="1"/>
  <c r="BH246" i="1"/>
  <c r="AD246" i="1" s="1"/>
  <c r="BF245" i="1"/>
  <c r="BI239" i="1"/>
  <c r="AE239" i="1" s="1"/>
  <c r="AX239" i="1"/>
  <c r="BH237" i="1"/>
  <c r="AD237" i="1" s="1"/>
  <c r="BH234" i="1"/>
  <c r="AD234" i="1" s="1"/>
  <c r="BF228" i="1"/>
  <c r="BI222" i="1"/>
  <c r="AE222" i="1" s="1"/>
  <c r="AX222" i="1"/>
  <c r="BH220" i="1"/>
  <c r="AD220" i="1" s="1"/>
  <c r="BI217" i="1"/>
  <c r="AE217" i="1" s="1"/>
  <c r="AX217" i="1"/>
  <c r="BH215" i="1"/>
  <c r="AD215" i="1" s="1"/>
  <c r="BI211" i="1"/>
  <c r="AE211" i="1" s="1"/>
  <c r="AX211" i="1"/>
  <c r="BH209" i="1"/>
  <c r="AD209" i="1" s="1"/>
  <c r="BI204" i="1"/>
  <c r="AE204" i="1" s="1"/>
  <c r="AX204" i="1"/>
  <c r="BH202" i="1"/>
  <c r="AD202" i="1" s="1"/>
  <c r="BF201" i="1"/>
  <c r="BI194" i="1"/>
  <c r="AE194" i="1" s="1"/>
  <c r="AX194" i="1"/>
  <c r="BI191" i="1"/>
  <c r="AE191" i="1" s="1"/>
  <c r="AX191" i="1"/>
  <c r="BH190" i="1"/>
  <c r="AD190" i="1" s="1"/>
  <c r="BI172" i="1"/>
  <c r="AE172" i="1" s="1"/>
  <c r="AX172" i="1"/>
  <c r="BH171" i="1"/>
  <c r="AD171" i="1" s="1"/>
  <c r="BI168" i="1"/>
  <c r="AE168" i="1" s="1"/>
  <c r="AX168" i="1"/>
  <c r="BH165" i="1"/>
  <c r="AD165" i="1" s="1"/>
  <c r="BI158" i="1"/>
  <c r="AE158" i="1" s="1"/>
  <c r="AX158" i="1"/>
  <c r="BH157" i="1"/>
  <c r="AD157" i="1" s="1"/>
  <c r="BI154" i="1"/>
  <c r="AE154" i="1" s="1"/>
  <c r="AX154" i="1"/>
  <c r="BH153" i="1"/>
  <c r="AD153" i="1" s="1"/>
  <c r="BI150" i="1"/>
  <c r="AE150" i="1" s="1"/>
  <c r="AX150" i="1"/>
  <c r="AX140" i="1"/>
  <c r="H133" i="1"/>
  <c r="BH133" i="1"/>
  <c r="AD133" i="1" s="1"/>
  <c r="C16" i="4" s="1"/>
  <c r="M131" i="1"/>
  <c r="G25" i="2" s="1"/>
  <c r="BF132" i="1"/>
  <c r="AX126" i="1"/>
  <c r="M107" i="1"/>
  <c r="G22" i="2" s="1"/>
  <c r="AX97" i="1"/>
  <c r="M87" i="1"/>
  <c r="G19" i="2" s="1"/>
  <c r="BF88" i="1"/>
  <c r="I79" i="1"/>
  <c r="I72" i="1" s="1"/>
  <c r="E18" i="2" s="1"/>
  <c r="AX79" i="1"/>
  <c r="BI79" i="1"/>
  <c r="AC79" i="1" s="1"/>
  <c r="BC73" i="1"/>
  <c r="H70" i="1"/>
  <c r="H63" i="1" s="1"/>
  <c r="D17" i="2" s="1"/>
  <c r="BH70" i="1"/>
  <c r="AB70" i="1" s="1"/>
  <c r="AV64" i="1"/>
  <c r="BC64" i="1"/>
  <c r="M63" i="1"/>
  <c r="G17" i="2" s="1"/>
  <c r="AX57" i="1"/>
  <c r="H49" i="1"/>
  <c r="BH49" i="1"/>
  <c r="AB49" i="1" s="1"/>
  <c r="I40" i="1"/>
  <c r="AX40" i="1"/>
  <c r="BI40" i="1"/>
  <c r="AC40" i="1" s="1"/>
  <c r="M39" i="1"/>
  <c r="G15" i="2" s="1"/>
  <c r="H29" i="1"/>
  <c r="H24" i="1" s="1"/>
  <c r="D14" i="2" s="1"/>
  <c r="BH29" i="1"/>
  <c r="AB29" i="1" s="1"/>
  <c r="AT149" i="1"/>
  <c r="AS131" i="1"/>
  <c r="J131" i="1"/>
  <c r="F25" i="2" s="1"/>
  <c r="I25" i="2" s="1"/>
  <c r="BI110" i="1"/>
  <c r="AC110" i="1" s="1"/>
  <c r="AX110" i="1"/>
  <c r="BH108" i="1"/>
  <c r="AB108" i="1" s="1"/>
  <c r="BI105" i="1"/>
  <c r="AC105" i="1" s="1"/>
  <c r="AX70" i="1"/>
  <c r="BH68" i="1"/>
  <c r="AB68" i="1" s="1"/>
  <c r="BH16" i="1"/>
  <c r="AB16" i="1" s="1"/>
  <c r="AS149" i="1"/>
  <c r="J149" i="1"/>
  <c r="F28" i="2" s="1"/>
  <c r="I28" i="2" s="1"/>
  <c r="AW303" i="1"/>
  <c r="AV300" i="1"/>
  <c r="AX300" i="1"/>
  <c r="BC300" i="1" s="1"/>
  <c r="AX299" i="1"/>
  <c r="AV299" i="1" s="1"/>
  <c r="AX297" i="1"/>
  <c r="BC297" i="1" s="1"/>
  <c r="AX295" i="1"/>
  <c r="AT292" i="1"/>
  <c r="J292" i="1"/>
  <c r="F46" i="2" s="1"/>
  <c r="I46" i="2" s="1"/>
  <c r="I292" i="1"/>
  <c r="E46" i="2" s="1"/>
  <c r="AU292" i="1"/>
  <c r="AS292" i="1"/>
  <c r="I287" i="1"/>
  <c r="E45" i="2" s="1"/>
  <c r="AS287" i="1"/>
  <c r="AW290" i="1"/>
  <c r="H287" i="1"/>
  <c r="D45" i="2" s="1"/>
  <c r="AT287" i="1"/>
  <c r="AW288" i="1"/>
  <c r="AX285" i="1"/>
  <c r="AW280" i="1"/>
  <c r="AW277" i="1"/>
  <c r="AW275" i="1"/>
  <c r="AW274" i="1"/>
  <c r="AW271" i="1"/>
  <c r="AW269" i="1"/>
  <c r="H265" i="1"/>
  <c r="D41" i="2" s="1"/>
  <c r="AT265" i="1"/>
  <c r="I265" i="1"/>
  <c r="E41" i="2" s="1"/>
  <c r="AU265" i="1"/>
  <c r="AS265" i="1"/>
  <c r="J265" i="1"/>
  <c r="F41" i="2" s="1"/>
  <c r="I41" i="2" s="1"/>
  <c r="AW266" i="1"/>
  <c r="AW264" i="1"/>
  <c r="AW262" i="1"/>
  <c r="I257" i="1"/>
  <c r="E40" i="2" s="1"/>
  <c r="AU257" i="1"/>
  <c r="AS257" i="1"/>
  <c r="J257" i="1"/>
  <c r="F40" i="2" s="1"/>
  <c r="I40" i="2" s="1"/>
  <c r="AW260" i="1"/>
  <c r="H257" i="1"/>
  <c r="D40" i="2" s="1"/>
  <c r="AT257" i="1"/>
  <c r="AW258" i="1"/>
  <c r="AW254" i="1"/>
  <c r="AW251" i="1"/>
  <c r="H248" i="1"/>
  <c r="D38" i="2" s="1"/>
  <c r="AT248" i="1"/>
  <c r="I248" i="1"/>
  <c r="E38" i="2" s="1"/>
  <c r="AU248" i="1"/>
  <c r="AS248" i="1"/>
  <c r="AW249" i="1"/>
  <c r="H244" i="1"/>
  <c r="D37" i="2" s="1"/>
  <c r="AX246" i="1"/>
  <c r="BC246" i="1" s="1"/>
  <c r="AX245" i="1"/>
  <c r="BC245" i="1" s="1"/>
  <c r="AW243" i="1"/>
  <c r="AW241" i="1"/>
  <c r="AW239" i="1"/>
  <c r="H236" i="1"/>
  <c r="D36" i="2" s="1"/>
  <c r="AT236" i="1"/>
  <c r="I236" i="1"/>
  <c r="E36" i="2" s="1"/>
  <c r="AU236" i="1"/>
  <c r="AS236" i="1"/>
  <c r="J236" i="1"/>
  <c r="F36" i="2" s="1"/>
  <c r="I36" i="2" s="1"/>
  <c r="AW237" i="1"/>
  <c r="AV234" i="1"/>
  <c r="AX234" i="1"/>
  <c r="BC234" i="1" s="1"/>
  <c r="AT227" i="1"/>
  <c r="H227" i="1"/>
  <c r="D35" i="2" s="1"/>
  <c r="AX231" i="1"/>
  <c r="BC231" i="1" s="1"/>
  <c r="I227" i="1"/>
  <c r="E35" i="2" s="1"/>
  <c r="AU227" i="1"/>
  <c r="AS227" i="1"/>
  <c r="J227" i="1"/>
  <c r="F35" i="2" s="1"/>
  <c r="I35" i="2" s="1"/>
  <c r="AX228" i="1"/>
  <c r="BC228" i="1" s="1"/>
  <c r="AW226" i="1"/>
  <c r="AW224" i="1"/>
  <c r="AW222" i="1"/>
  <c r="AW220" i="1"/>
  <c r="AW219" i="1"/>
  <c r="AW218" i="1"/>
  <c r="AW217" i="1"/>
  <c r="AW215" i="1"/>
  <c r="AW214" i="1"/>
  <c r="AW212" i="1"/>
  <c r="AW211" i="1"/>
  <c r="AW209" i="1"/>
  <c r="AW207" i="1"/>
  <c r="AW206" i="1"/>
  <c r="AW204" i="1"/>
  <c r="I200" i="1"/>
  <c r="E34" i="2" s="1"/>
  <c r="AU200" i="1"/>
  <c r="AS200" i="1"/>
  <c r="J200" i="1"/>
  <c r="F34" i="2" s="1"/>
  <c r="I34" i="2" s="1"/>
  <c r="AT200" i="1"/>
  <c r="H200" i="1"/>
  <c r="D34" i="2" s="1"/>
  <c r="AW202" i="1"/>
  <c r="AW201" i="1"/>
  <c r="AW198" i="1"/>
  <c r="I193" i="1"/>
  <c r="E33" i="2" s="1"/>
  <c r="AU193" i="1"/>
  <c r="AS193" i="1"/>
  <c r="J193" i="1"/>
  <c r="F33" i="2" s="1"/>
  <c r="I33" i="2" s="1"/>
  <c r="AW196" i="1"/>
  <c r="H193" i="1"/>
  <c r="D33" i="2" s="1"/>
  <c r="AT193" i="1"/>
  <c r="AW194" i="1"/>
  <c r="I185" i="1"/>
  <c r="E32" i="2" s="1"/>
  <c r="AU185" i="1"/>
  <c r="AS185" i="1"/>
  <c r="J185" i="1"/>
  <c r="F32" i="2" s="1"/>
  <c r="I32" i="2" s="1"/>
  <c r="AW191" i="1"/>
  <c r="AW190" i="1"/>
  <c r="AW189" i="1"/>
  <c r="H185" i="1"/>
  <c r="D32" i="2" s="1"/>
  <c r="I175" i="1"/>
  <c r="E30" i="2" s="1"/>
  <c r="AX186" i="1"/>
  <c r="BC186" i="1" s="1"/>
  <c r="AW183" i="1"/>
  <c r="AX181" i="1"/>
  <c r="BC181" i="1" s="1"/>
  <c r="AX179" i="1"/>
  <c r="BC179" i="1" s="1"/>
  <c r="AX178" i="1"/>
  <c r="BC178" i="1" s="1"/>
  <c r="AX176" i="1"/>
  <c r="BC176" i="1" s="1"/>
  <c r="AW172" i="1"/>
  <c r="AW171" i="1"/>
  <c r="AW170" i="1"/>
  <c r="AW169" i="1"/>
  <c r="AW168" i="1"/>
  <c r="AT160" i="1"/>
  <c r="AW165" i="1"/>
  <c r="I160" i="1"/>
  <c r="E29" i="2" s="1"/>
  <c r="AU160" i="1"/>
  <c r="AS160" i="1"/>
  <c r="J160" i="1"/>
  <c r="F29" i="2" s="1"/>
  <c r="I29" i="2" s="1"/>
  <c r="H160" i="1"/>
  <c r="D29" i="2" s="1"/>
  <c r="AW162" i="1"/>
  <c r="AW161" i="1"/>
  <c r="I149" i="1"/>
  <c r="E28" i="2" s="1"/>
  <c r="H149" i="1"/>
  <c r="D28" i="2" s="1"/>
  <c r="AW159" i="1"/>
  <c r="AW158" i="1"/>
  <c r="AW157" i="1"/>
  <c r="AW156" i="1"/>
  <c r="AW155" i="1"/>
  <c r="AW154" i="1"/>
  <c r="AW153" i="1"/>
  <c r="AW152" i="1"/>
  <c r="AW151" i="1"/>
  <c r="AW150" i="1"/>
  <c r="AW147" i="1"/>
  <c r="I142" i="1"/>
  <c r="E27" i="2" s="1"/>
  <c r="AU142" i="1"/>
  <c r="AS142" i="1"/>
  <c r="J142" i="1"/>
  <c r="F27" i="2" s="1"/>
  <c r="I27" i="2" s="1"/>
  <c r="AW145" i="1"/>
  <c r="AT142" i="1"/>
  <c r="AW143" i="1"/>
  <c r="AW140" i="1"/>
  <c r="H137" i="1"/>
  <c r="D26" i="2" s="1"/>
  <c r="AT137" i="1"/>
  <c r="I137" i="1"/>
  <c r="E26" i="2" s="1"/>
  <c r="AU137" i="1"/>
  <c r="AS137" i="1"/>
  <c r="J137" i="1"/>
  <c r="F26" i="2" s="1"/>
  <c r="I26" i="2" s="1"/>
  <c r="AW138" i="1"/>
  <c r="H131" i="1"/>
  <c r="D25" i="2" s="1"/>
  <c r="I131" i="1"/>
  <c r="E25" i="2" s="1"/>
  <c r="AW135" i="1"/>
  <c r="AW133" i="1"/>
  <c r="AW132" i="1"/>
  <c r="AW129" i="1"/>
  <c r="AW126" i="1"/>
  <c r="H122" i="1"/>
  <c r="D24" i="2" s="1"/>
  <c r="AT122" i="1"/>
  <c r="AU122" i="1"/>
  <c r="AS122" i="1"/>
  <c r="J122" i="1"/>
  <c r="F24" i="2" s="1"/>
  <c r="I24" i="2" s="1"/>
  <c r="AW123" i="1"/>
  <c r="AT118" i="1"/>
  <c r="AW121" i="1"/>
  <c r="AU118" i="1"/>
  <c r="AS118" i="1"/>
  <c r="J118" i="1"/>
  <c r="F23" i="2" s="1"/>
  <c r="I23" i="2" s="1"/>
  <c r="AX116" i="1"/>
  <c r="BC116" i="1" s="1"/>
  <c r="AW113" i="1"/>
  <c r="AT107" i="1"/>
  <c r="AU107" i="1"/>
  <c r="AS107" i="1"/>
  <c r="J107" i="1"/>
  <c r="F22" i="2" s="1"/>
  <c r="I22" i="2" s="1"/>
  <c r="AW110" i="1"/>
  <c r="H107" i="1"/>
  <c r="D22" i="2" s="1"/>
  <c r="AX108" i="1"/>
  <c r="BC108" i="1" s="1"/>
  <c r="C17" i="4"/>
  <c r="C21" i="4"/>
  <c r="AX105" i="1"/>
  <c r="AT101" i="1"/>
  <c r="I101" i="1"/>
  <c r="E21" i="2" s="1"/>
  <c r="AW102" i="1"/>
  <c r="H102" i="1"/>
  <c r="H93" i="1"/>
  <c r="D20" i="2" s="1"/>
  <c r="AX100" i="1"/>
  <c r="BC100" i="1" s="1"/>
  <c r="BH99" i="1"/>
  <c r="AB99" i="1" s="1"/>
  <c r="I93" i="1"/>
  <c r="E20" i="2" s="1"/>
  <c r="AU93" i="1"/>
  <c r="AS93" i="1"/>
  <c r="J93" i="1"/>
  <c r="F20" i="2" s="1"/>
  <c r="I20" i="2" s="1"/>
  <c r="AW98" i="1"/>
  <c r="AW97" i="1"/>
  <c r="AW96" i="1"/>
  <c r="AW94" i="1"/>
  <c r="AW99" i="1"/>
  <c r="I87" i="1"/>
  <c r="E19" i="2" s="1"/>
  <c r="AU87" i="1"/>
  <c r="AS87" i="1"/>
  <c r="J87" i="1"/>
  <c r="F19" i="2" s="1"/>
  <c r="I19" i="2" s="1"/>
  <c r="AW91" i="1"/>
  <c r="H87" i="1"/>
  <c r="D19" i="2" s="1"/>
  <c r="AT87" i="1"/>
  <c r="AW88" i="1"/>
  <c r="AW84" i="1"/>
  <c r="C19" i="4"/>
  <c r="AX81" i="1"/>
  <c r="BC81" i="1" s="1"/>
  <c r="AW79" i="1"/>
  <c r="AW77" i="1"/>
  <c r="AW75" i="1"/>
  <c r="AU72" i="1"/>
  <c r="AS72" i="1"/>
  <c r="J72" i="1"/>
  <c r="F18" i="2" s="1"/>
  <c r="I18" i="2" s="1"/>
  <c r="H72" i="1"/>
  <c r="D18" i="2" s="1"/>
  <c r="AT72" i="1"/>
  <c r="AW70" i="1"/>
  <c r="AW68" i="1"/>
  <c r="AW66" i="1"/>
  <c r="AT63" i="1"/>
  <c r="I63" i="1"/>
  <c r="E17" i="2" s="1"/>
  <c r="AU63" i="1"/>
  <c r="AS63" i="1"/>
  <c r="J63" i="1"/>
  <c r="F17" i="2" s="1"/>
  <c r="I17" i="2" s="1"/>
  <c r="I56" i="1"/>
  <c r="E16" i="2" s="1"/>
  <c r="AU56" i="1"/>
  <c r="AS56" i="1"/>
  <c r="J56" i="1"/>
  <c r="F16" i="2" s="1"/>
  <c r="I16" i="2" s="1"/>
  <c r="AW60" i="1"/>
  <c r="H56" i="1"/>
  <c r="D16" i="2" s="1"/>
  <c r="AT56" i="1"/>
  <c r="AW57" i="1"/>
  <c r="AW54" i="1"/>
  <c r="AW51" i="1"/>
  <c r="AW49" i="1"/>
  <c r="J39" i="1"/>
  <c r="F15" i="2" s="1"/>
  <c r="I15" i="2" s="1"/>
  <c r="AW47" i="1"/>
  <c r="AU39" i="1"/>
  <c r="AS39" i="1"/>
  <c r="AW45" i="1"/>
  <c r="I39" i="1"/>
  <c r="E15" i="2" s="1"/>
  <c r="C28" i="4"/>
  <c r="F28" i="4" s="1"/>
  <c r="C20" i="4"/>
  <c r="AW43" i="1"/>
  <c r="H39" i="1"/>
  <c r="D15" i="2" s="1"/>
  <c r="AT39" i="1"/>
  <c r="AW40" i="1"/>
  <c r="AW37" i="1"/>
  <c r="AW35" i="1"/>
  <c r="AW33" i="1"/>
  <c r="AW31" i="1"/>
  <c r="AW30" i="1"/>
  <c r="AW29" i="1"/>
  <c r="AU24" i="1"/>
  <c r="AS24" i="1"/>
  <c r="J24" i="1"/>
  <c r="F14" i="2" s="1"/>
  <c r="I14" i="2" s="1"/>
  <c r="AW27" i="1"/>
  <c r="AT24" i="1"/>
  <c r="I24" i="1"/>
  <c r="E14" i="2" s="1"/>
  <c r="C18" i="4"/>
  <c r="AW25" i="1"/>
  <c r="AW22" i="1"/>
  <c r="AW19" i="1"/>
  <c r="I12" i="1"/>
  <c r="E11" i="2" s="1"/>
  <c r="AU12" i="1"/>
  <c r="AS12" i="1"/>
  <c r="J12" i="1"/>
  <c r="F11" i="2" s="1"/>
  <c r="I11" i="2" s="1"/>
  <c r="AW16" i="1"/>
  <c r="H12" i="1"/>
  <c r="D11" i="2" s="1"/>
  <c r="AT12" i="1"/>
  <c r="C14" i="4"/>
  <c r="AX13" i="1"/>
  <c r="BC13" i="1" s="1"/>
  <c r="BC285" i="1"/>
  <c r="AV285" i="1"/>
  <c r="F44" i="2"/>
  <c r="I44" i="2" s="1"/>
  <c r="H285" i="1"/>
  <c r="H284" i="1" s="1"/>
  <c r="D44" i="2" s="1"/>
  <c r="AT284" i="1"/>
  <c r="C29" i="4"/>
  <c r="F29" i="4" s="1"/>
  <c r="C27" i="4"/>
  <c r="C15" i="4" l="1"/>
  <c r="J305" i="1"/>
  <c r="K16" i="1" s="1"/>
  <c r="H101" i="1"/>
  <c r="D21" i="2" s="1"/>
  <c r="BC105" i="1"/>
  <c r="AV293" i="1"/>
  <c r="BC293" i="1"/>
  <c r="AV297" i="1"/>
  <c r="F48" i="2"/>
  <c r="AV116" i="1"/>
  <c r="BC295" i="1"/>
  <c r="AV119" i="1"/>
  <c r="BC303" i="1"/>
  <c r="AV303" i="1"/>
  <c r="BC299" i="1"/>
  <c r="AV295" i="1"/>
  <c r="BC290" i="1"/>
  <c r="AV290" i="1"/>
  <c r="BC288" i="1"/>
  <c r="AV288" i="1"/>
  <c r="AV280" i="1"/>
  <c r="BC280" i="1"/>
  <c r="AV277" i="1"/>
  <c r="BC277" i="1"/>
  <c r="AV275" i="1"/>
  <c r="BC275" i="1"/>
  <c r="AV274" i="1"/>
  <c r="BC274" i="1"/>
  <c r="BC271" i="1"/>
  <c r="AV271" i="1"/>
  <c r="AV269" i="1"/>
  <c r="BC269" i="1"/>
  <c r="BC266" i="1"/>
  <c r="AV266" i="1"/>
  <c r="BC264" i="1"/>
  <c r="AV264" i="1"/>
  <c r="AV262" i="1"/>
  <c r="BC262" i="1"/>
  <c r="BC260" i="1"/>
  <c r="AV260" i="1"/>
  <c r="AV258" i="1"/>
  <c r="BC258" i="1"/>
  <c r="AV254" i="1"/>
  <c r="BC254" i="1"/>
  <c r="AV251" i="1"/>
  <c r="BC251" i="1"/>
  <c r="BC249" i="1"/>
  <c r="AV249" i="1"/>
  <c r="AV246" i="1"/>
  <c r="AV243" i="1"/>
  <c r="BC243" i="1"/>
  <c r="AV245" i="1"/>
  <c r="BC241" i="1"/>
  <c r="AV241" i="1"/>
  <c r="AV239" i="1"/>
  <c r="BC239" i="1"/>
  <c r="BC237" i="1"/>
  <c r="AV237" i="1"/>
  <c r="AV231" i="1"/>
  <c r="AV226" i="1"/>
  <c r="BC226" i="1"/>
  <c r="AV228" i="1"/>
  <c r="AV218" i="1"/>
  <c r="BC218" i="1"/>
  <c r="AV220" i="1"/>
  <c r="BC220" i="1"/>
  <c r="AV224" i="1"/>
  <c r="BC224" i="1"/>
  <c r="AV217" i="1"/>
  <c r="BC217" i="1"/>
  <c r="AV219" i="1"/>
  <c r="BC219" i="1"/>
  <c r="AV222" i="1"/>
  <c r="BC222" i="1"/>
  <c r="BC209" i="1"/>
  <c r="AV209" i="1"/>
  <c r="BC212" i="1"/>
  <c r="AV212" i="1"/>
  <c r="BC215" i="1"/>
  <c r="AV215" i="1"/>
  <c r="BC211" i="1"/>
  <c r="AV211" i="1"/>
  <c r="BC214" i="1"/>
  <c r="AV214" i="1"/>
  <c r="BC207" i="1"/>
  <c r="AV207" i="1"/>
  <c r="BC206" i="1"/>
  <c r="AV206" i="1"/>
  <c r="AV204" i="1"/>
  <c r="BC204" i="1"/>
  <c r="AV201" i="1"/>
  <c r="BC201" i="1"/>
  <c r="AV202" i="1"/>
  <c r="BC202" i="1"/>
  <c r="AV198" i="1"/>
  <c r="BC198" i="1"/>
  <c r="BC196" i="1"/>
  <c r="AV196" i="1"/>
  <c r="AV194" i="1"/>
  <c r="BC194" i="1"/>
  <c r="BC189" i="1"/>
  <c r="AV189" i="1"/>
  <c r="BC191" i="1"/>
  <c r="AV191" i="1"/>
  <c r="BC190" i="1"/>
  <c r="AV190" i="1"/>
  <c r="AV178" i="1"/>
  <c r="AV181" i="1"/>
  <c r="BC183" i="1"/>
  <c r="AV183" i="1"/>
  <c r="AV176" i="1"/>
  <c r="AV179" i="1"/>
  <c r="AV186" i="1"/>
  <c r="AV168" i="1"/>
  <c r="BC168" i="1"/>
  <c r="AV170" i="1"/>
  <c r="BC170" i="1"/>
  <c r="AV172" i="1"/>
  <c r="BC172" i="1"/>
  <c r="AV169" i="1"/>
  <c r="BC169" i="1"/>
  <c r="AV171" i="1"/>
  <c r="BC171" i="1"/>
  <c r="BC165" i="1"/>
  <c r="AV165" i="1"/>
  <c r="BC161" i="1"/>
  <c r="AV161" i="1"/>
  <c r="BC162" i="1"/>
  <c r="AV162" i="1"/>
  <c r="AV151" i="1"/>
  <c r="BC151" i="1"/>
  <c r="AV153" i="1"/>
  <c r="BC153" i="1"/>
  <c r="AV155" i="1"/>
  <c r="BC155" i="1"/>
  <c r="AV157" i="1"/>
  <c r="BC157" i="1"/>
  <c r="AV159" i="1"/>
  <c r="BC159" i="1"/>
  <c r="AV150" i="1"/>
  <c r="BC150" i="1"/>
  <c r="AV152" i="1"/>
  <c r="BC152" i="1"/>
  <c r="AV154" i="1"/>
  <c r="BC154" i="1"/>
  <c r="AV156" i="1"/>
  <c r="BC156" i="1"/>
  <c r="AV158" i="1"/>
  <c r="BC158" i="1"/>
  <c r="AV147" i="1"/>
  <c r="BC147" i="1"/>
  <c r="BC145" i="1"/>
  <c r="AV145" i="1"/>
  <c r="AV143" i="1"/>
  <c r="BC143" i="1"/>
  <c r="AV140" i="1"/>
  <c r="BC140" i="1"/>
  <c r="BC138" i="1"/>
  <c r="AV138" i="1"/>
  <c r="BC132" i="1"/>
  <c r="AV132" i="1"/>
  <c r="BC135" i="1"/>
  <c r="AV135" i="1"/>
  <c r="BC133" i="1"/>
  <c r="AV133" i="1"/>
  <c r="BC129" i="1"/>
  <c r="AV129" i="1"/>
  <c r="AV126" i="1"/>
  <c r="BC126" i="1"/>
  <c r="BC123" i="1"/>
  <c r="AV123" i="1"/>
  <c r="BC121" i="1"/>
  <c r="AV121" i="1"/>
  <c r="BC113" i="1"/>
  <c r="AV113" i="1"/>
  <c r="BC110" i="1"/>
  <c r="AV110" i="1"/>
  <c r="AV108" i="1"/>
  <c r="AV105" i="1"/>
  <c r="AV102" i="1"/>
  <c r="BC102" i="1"/>
  <c r="BC96" i="1"/>
  <c r="AV96" i="1"/>
  <c r="BC98" i="1"/>
  <c r="AV98" i="1"/>
  <c r="AV100" i="1"/>
  <c r="BC94" i="1"/>
  <c r="AV94" i="1"/>
  <c r="BC97" i="1"/>
  <c r="AV97" i="1"/>
  <c r="BC99" i="1"/>
  <c r="AV99" i="1"/>
  <c r="BC91" i="1"/>
  <c r="AV91" i="1"/>
  <c r="AV88" i="1"/>
  <c r="BC88" i="1"/>
  <c r="AV84" i="1"/>
  <c r="BC84" i="1"/>
  <c r="AV81" i="1"/>
  <c r="BC79" i="1"/>
  <c r="AV79" i="1"/>
  <c r="AV77" i="1"/>
  <c r="BC77" i="1"/>
  <c r="AV75" i="1"/>
  <c r="BC75" i="1"/>
  <c r="AV70" i="1"/>
  <c r="BC70" i="1"/>
  <c r="BC68" i="1"/>
  <c r="AV68" i="1"/>
  <c r="AV66" i="1"/>
  <c r="BC66" i="1"/>
  <c r="BC60" i="1"/>
  <c r="AV60" i="1"/>
  <c r="AV57" i="1"/>
  <c r="BC57" i="1"/>
  <c r="AV54" i="1"/>
  <c r="BC54" i="1"/>
  <c r="BC51" i="1"/>
  <c r="AV51" i="1"/>
  <c r="AV49" i="1"/>
  <c r="BC49" i="1"/>
  <c r="BC47" i="1"/>
  <c r="AV47" i="1"/>
  <c r="BC45" i="1"/>
  <c r="AV45" i="1"/>
  <c r="BC43" i="1"/>
  <c r="AV43" i="1"/>
  <c r="BC40" i="1"/>
  <c r="AV40" i="1"/>
  <c r="C22" i="4"/>
  <c r="BC37" i="1"/>
  <c r="AV37" i="1"/>
  <c r="AV35" i="1"/>
  <c r="BC35" i="1"/>
  <c r="BC33" i="1"/>
  <c r="AV33" i="1"/>
  <c r="AV29" i="1"/>
  <c r="BC29" i="1"/>
  <c r="AV31" i="1"/>
  <c r="BC31" i="1"/>
  <c r="AV30" i="1"/>
  <c r="BC30" i="1"/>
  <c r="AV27" i="1"/>
  <c r="BC27" i="1"/>
  <c r="BC25" i="1"/>
  <c r="AV25" i="1"/>
  <c r="BC22" i="1"/>
  <c r="AV22" i="1"/>
  <c r="BC19" i="1"/>
  <c r="AV19" i="1"/>
  <c r="BC16" i="1"/>
  <c r="AV16" i="1"/>
  <c r="AV13" i="1"/>
  <c r="K21" i="1"/>
  <c r="K22" i="1"/>
  <c r="K27" i="1"/>
  <c r="K33" i="1"/>
  <c r="K37" i="1"/>
  <c r="K43" i="1"/>
  <c r="K51" i="1"/>
  <c r="K56" i="1"/>
  <c r="K57" i="1"/>
  <c r="K64" i="1"/>
  <c r="K68" i="1"/>
  <c r="K72" i="1"/>
  <c r="K77" i="1"/>
  <c r="K81" i="1"/>
  <c r="K87" i="1"/>
  <c r="K93" i="1"/>
  <c r="K94" i="1"/>
  <c r="K97" i="1"/>
  <c r="K101" i="1"/>
  <c r="K102" i="1"/>
  <c r="K107" i="1"/>
  <c r="K113" i="1"/>
  <c r="K118" i="1"/>
  <c r="K119" i="1"/>
  <c r="K123" i="1"/>
  <c r="K129" i="1"/>
  <c r="K133" i="1"/>
  <c r="K138" i="1"/>
  <c r="K142" i="1"/>
  <c r="K143" i="1"/>
  <c r="K151" i="1"/>
  <c r="K153" i="1"/>
  <c r="K155" i="1"/>
  <c r="K159" i="1"/>
  <c r="K162" i="1"/>
  <c r="K168" i="1"/>
  <c r="K172" i="1"/>
  <c r="K178" i="1"/>
  <c r="K181" i="1"/>
  <c r="K186" i="1"/>
  <c r="K190" i="1"/>
  <c r="K193" i="1"/>
  <c r="K198" i="1"/>
  <c r="K202" i="1"/>
  <c r="K206" i="1"/>
  <c r="K212" i="1"/>
  <c r="K215" i="1"/>
  <c r="K218" i="1"/>
  <c r="K224" i="1"/>
  <c r="K227" i="1"/>
  <c r="K228" i="1"/>
  <c r="K239" i="1"/>
  <c r="K243" i="1"/>
  <c r="K246" i="1"/>
  <c r="K257" i="1"/>
  <c r="K258" i="1"/>
  <c r="K262" i="1"/>
  <c r="K266" i="1"/>
  <c r="K271" i="1"/>
  <c r="K275" i="1"/>
  <c r="K280" i="1"/>
  <c r="K284" i="1"/>
  <c r="K285" i="1"/>
  <c r="K295" i="1"/>
  <c r="K299" i="1"/>
  <c r="K301" i="1"/>
  <c r="K13" i="1"/>
  <c r="K18" i="1"/>
  <c r="K19" i="1"/>
  <c r="K25" i="1"/>
  <c r="K29" i="1"/>
  <c r="K31" i="1"/>
  <c r="K39" i="1"/>
  <c r="K40" i="1"/>
  <c r="K45" i="1"/>
  <c r="K54" i="1"/>
  <c r="K60" i="1"/>
  <c r="K66" i="1"/>
  <c r="K75" i="1"/>
  <c r="K79" i="1"/>
  <c r="K84" i="1"/>
  <c r="K96" i="1"/>
  <c r="K98" i="1"/>
  <c r="K100" i="1"/>
  <c r="K110" i="1"/>
  <c r="K116" i="1"/>
  <c r="K121" i="1"/>
  <c r="K131" i="1"/>
  <c r="K132" i="1"/>
  <c r="K135" i="1"/>
  <c r="K145" i="1"/>
  <c r="K149" i="1"/>
  <c r="K150" i="1"/>
  <c r="K154" i="1"/>
  <c r="K156" i="1"/>
  <c r="K158" i="1"/>
  <c r="K161" i="1"/>
  <c r="K165" i="1"/>
  <c r="K169" i="1"/>
  <c r="K175" i="1"/>
  <c r="K176" i="1"/>
  <c r="K179" i="1"/>
  <c r="K183" i="1"/>
  <c r="K189" i="1"/>
  <c r="K191" i="1"/>
  <c r="K200" i="1"/>
  <c r="K201" i="1"/>
  <c r="K204" i="1"/>
  <c r="K211" i="1"/>
  <c r="K214" i="1"/>
  <c r="K217" i="1"/>
  <c r="K222" i="1"/>
  <c r="K226" i="1"/>
  <c r="K231" i="1"/>
  <c r="K237" i="1"/>
  <c r="K241" i="1"/>
  <c r="K244" i="1"/>
  <c r="K248" i="1"/>
  <c r="K249" i="1"/>
  <c r="K253" i="1"/>
  <c r="K260" i="1"/>
  <c r="K264" i="1"/>
  <c r="K269" i="1"/>
  <c r="K277" i="1"/>
  <c r="K282" i="1"/>
  <c r="K283" i="1"/>
  <c r="K288" i="1"/>
  <c r="K292" i="1"/>
  <c r="K293" i="1"/>
  <c r="K300" i="1"/>
  <c r="K303" i="1"/>
  <c r="I28" i="4"/>
  <c r="I29" i="4" s="1"/>
  <c r="K297" i="1" l="1"/>
  <c r="K287" i="1"/>
  <c r="K274" i="1"/>
  <c r="K254" i="1"/>
  <c r="K245" i="1"/>
  <c r="K236" i="1"/>
  <c r="K219" i="1"/>
  <c r="K207" i="1"/>
  <c r="K196" i="1"/>
  <c r="K182" i="1"/>
  <c r="K171" i="1"/>
  <c r="K160" i="1"/>
  <c r="K152" i="1"/>
  <c r="K140" i="1"/>
  <c r="K126" i="1"/>
  <c r="K105" i="1"/>
  <c r="K91" i="1"/>
  <c r="K70" i="1"/>
  <c r="K49" i="1"/>
  <c r="K35" i="1"/>
  <c r="K24" i="1"/>
  <c r="K12" i="1"/>
  <c r="K290" i="1"/>
  <c r="K279" i="1"/>
  <c r="K265" i="1"/>
  <c r="K251" i="1"/>
  <c r="K234" i="1"/>
  <c r="K220" i="1"/>
  <c r="K209" i="1"/>
  <c r="K194" i="1"/>
  <c r="K185" i="1"/>
  <c r="K170" i="1"/>
  <c r="K157" i="1"/>
  <c r="K147" i="1"/>
  <c r="K137" i="1"/>
  <c r="K122" i="1"/>
  <c r="K108" i="1"/>
  <c r="K99" i="1"/>
  <c r="K88" i="1"/>
  <c r="K73" i="1"/>
  <c r="K63" i="1"/>
  <c r="K47" i="1"/>
  <c r="K30" i="1"/>
</calcChain>
</file>

<file path=xl/sharedStrings.xml><?xml version="1.0" encoding="utf-8"?>
<sst xmlns="http://schemas.openxmlformats.org/spreadsheetml/2006/main" count="2985" uniqueCount="893">
  <si>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</si>
  <si>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</si>
  <si>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</si>
  <si>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</si>
  <si>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</si>
  <si>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</si>
  <si>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</si>
  <si>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</si>
  <si>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</si>
  <si>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</si>
  <si>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</si>
  <si>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</si>
  <si>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</si>
  <si>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</si>
  <si>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</si>
  <si>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</si>
  <si>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</si>
  <si>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</si>
  <si>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</si>
  <si>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</si>
  <si>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</si>
  <si>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</si>
  <si>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</si>
  <si>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</si>
  <si>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</si>
  <si>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</si>
  <si>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</si>
  <si>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</si>
  <si>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</si>
  <si>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</si>
  <si>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</si>
  <si>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</si>
  <si>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</si>
  <si>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</si>
  <si>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</si>
  <si>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</si>
  <si>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</si>
  <si>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</si>
  <si>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</si>
  <si>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</si>
  <si>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</si>
  <si>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</si>
  <si>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</si>
  <si>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</si>
  <si>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</si>
  <si>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</si>
  <si>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</si>
  <si>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</si>
  <si>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</si>
  <si>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</si>
  <si>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</si>
  <si>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</si>
  <si>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</si>
  <si>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</si>
  <si>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</si>
  <si>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</si>
  <si>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</si>
  <si>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</si>
  <si>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</si>
  <si>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</si>
  <si>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</si>
  <si>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</si>
  <si>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</si>
  <si>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</si>
  <si>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</si>
  <si>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</si>
  <si>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</si>
  <si>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</si>
  <si>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</si>
  <si>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</si>
  <si>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</si>
  <si>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</si>
  <si>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</si>
  <si>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</si>
  <si>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</si>
  <si>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</si>
  <si>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</si>
  <si>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</si>
  <si>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</si>
  <si>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</si>
  <si>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</si>
  <si>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</si>
  <si>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</si>
  <si>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</si>
  <si>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</si>
  <si>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</si>
  <si>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</si>
  <si>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</si>
  <si>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</si>
  <si>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</si>
  <si>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</si>
  <si>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</si>
  <si>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</si>
  <si>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</si>
  <si>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</si>
  <si>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</si>
  <si>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</si>
  <si>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</si>
  <si>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</si>
  <si>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</si>
  <si>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</si>
  <si>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</si>
  <si>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</si>
  <si>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</si>
  <si>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</si>
  <si>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</si>
  <si>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</si>
  <si>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</si>
  <si>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</si>
  <si>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</si>
  <si>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</si>
  <si>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</si>
  <si>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</si>
  <si>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</si>
  <si>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</si>
  <si>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</si>
  <si>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</si>
  <si>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</si>
  <si>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</si>
  <si>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</si>
  <si>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</si>
  <si>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</si>
  <si>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</si>
  <si>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</si>
  <si>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</si>
  <si>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</si>
  <si>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</si>
  <si>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</si>
  <si>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</si>
  <si>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</si>
  <si>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</si>
  <si>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</si>
  <si>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</si>
  <si>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</si>
  <si>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</si>
  <si>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</si>
  <si>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</si>
  <si>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</si>
  <si>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</si>
  <si>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</si>
  <si>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</si>
  <si>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</si>
  <si>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</si>
  <si>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</si>
  <si>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</si>
  <si>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</si>
  <si>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Poznámka:</t>
  </si>
  <si>
    <t>Upřesňující údaje_x000D_
_x000D_
Jedná se o materiálovou specifikaci nenahrazující výrobní přípravu dodavatele. _x000D_
Při zpracování nabídky je nutné vycházet ze všech částí dokumentace (tj. technické zprávy, všech výkresů _x000D_
i specifikace materiálu. Pouhým oceněním výkazu výměr není možné vypracovat kvalitní nabídku._x000D_
_x000D_
Potenciálním dodavatelem musí být odborná stavební firma, která se obeznámila se všemi okolnostmi této zakázky_x000D_
a zahrnula je do nabízené ceny. Součástí ceny musí být veškeré náklady, aby cena byla konečná a zahrnovala celou dodávku akce. Dodavatel ručí za to, že v nabízené ceně je navrženo veškeré potřebné zařízení a výkony._x000D_
_x000D_
Předpokládá se, že dodávka je nabízena jako kompletní dílo včetně kompletní montáže, veškerého souvisejícího doplňkového, podružného a montážního materiálu tak, aby celé donkončené dílo bylo funkční a splňovalo všechny normy a předpisy, které se na ně vztahují.</t>
  </si>
  <si>
    <t>Objekt</t>
  </si>
  <si>
    <t>Kód</t>
  </si>
  <si>
    <t>113107220RAB</t>
  </si>
  <si>
    <t>RTS komentář:</t>
  </si>
  <si>
    <t>566111113R00</t>
  </si>
  <si>
    <t>131201110R00</t>
  </si>
  <si>
    <t>174101101R00</t>
  </si>
  <si>
    <t>273313511R00</t>
  </si>
  <si>
    <t>275321321R00</t>
  </si>
  <si>
    <t>275351215R00</t>
  </si>
  <si>
    <t>275351216R00</t>
  </si>
  <si>
    <t>275361721R00</t>
  </si>
  <si>
    <t>274272130RT4</t>
  </si>
  <si>
    <t>274361315R0</t>
  </si>
  <si>
    <t>274320030RAV</t>
  </si>
  <si>
    <t>310239211RT2</t>
  </si>
  <si>
    <t>311941111R00</t>
  </si>
  <si>
    <t>311237379R00</t>
  </si>
  <si>
    <t>317941123RT2</t>
  </si>
  <si>
    <t>317941123RT4</t>
  </si>
  <si>
    <t>342172225R00</t>
  </si>
  <si>
    <t>61210426</t>
  </si>
  <si>
    <t>342013323RT1</t>
  </si>
  <si>
    <t>346244381RT2</t>
  </si>
  <si>
    <t>38999101R</t>
  </si>
  <si>
    <t>38999102R</t>
  </si>
  <si>
    <t>38999103R</t>
  </si>
  <si>
    <t>411354258R00</t>
  </si>
  <si>
    <t>411354175R00</t>
  </si>
  <si>
    <t>411354176R00</t>
  </si>
  <si>
    <t>411321414R00</t>
  </si>
  <si>
    <t>411361921RT1</t>
  </si>
  <si>
    <t>413200011RAA</t>
  </si>
  <si>
    <t>444172115R00</t>
  </si>
  <si>
    <t>61210407</t>
  </si>
  <si>
    <t>564851115RT4</t>
  </si>
  <si>
    <t>565181212R00</t>
  </si>
  <si>
    <t>573211112R00</t>
  </si>
  <si>
    <t>576111223R00</t>
  </si>
  <si>
    <t>577115127R00</t>
  </si>
  <si>
    <t>577182226R00</t>
  </si>
  <si>
    <t>597121211RT2</t>
  </si>
  <si>
    <t>552319055</t>
  </si>
  <si>
    <t>612421728R00</t>
  </si>
  <si>
    <t>611421122RT2</t>
  </si>
  <si>
    <t>611481211RT2</t>
  </si>
  <si>
    <t>612443541RV</t>
  </si>
  <si>
    <t>631315711RT2</t>
  </si>
  <si>
    <t>938902122R00</t>
  </si>
  <si>
    <t>642942111RT4</t>
  </si>
  <si>
    <t>642942111RT5</t>
  </si>
  <si>
    <t>642103021RAV</t>
  </si>
  <si>
    <t>711</t>
  </si>
  <si>
    <t>711510114RA1</t>
  </si>
  <si>
    <t>711140024RAV</t>
  </si>
  <si>
    <t>28376155</t>
  </si>
  <si>
    <t>713</t>
  </si>
  <si>
    <t>713111125R00</t>
  </si>
  <si>
    <t>63140546</t>
  </si>
  <si>
    <t>714</t>
  </si>
  <si>
    <t>714111301R00</t>
  </si>
  <si>
    <t>4295330146</t>
  </si>
  <si>
    <t>714141101R00</t>
  </si>
  <si>
    <t>721</t>
  </si>
  <si>
    <t>721176103R00</t>
  </si>
  <si>
    <t>721176114R00</t>
  </si>
  <si>
    <t>721176134R00</t>
  </si>
  <si>
    <t>721176144R00</t>
  </si>
  <si>
    <t>721176222R00</t>
  </si>
  <si>
    <t>721176223R00</t>
  </si>
  <si>
    <t>721176224R00</t>
  </si>
  <si>
    <t>721194105R00</t>
  </si>
  <si>
    <t>721242117R00</t>
  </si>
  <si>
    <t>721290111R00</t>
  </si>
  <si>
    <t>722</t>
  </si>
  <si>
    <t>722130232R00</t>
  </si>
  <si>
    <t>722181213RT5</t>
  </si>
  <si>
    <t>722181214RT5</t>
  </si>
  <si>
    <t>722190402R00</t>
  </si>
  <si>
    <t>722235112R00</t>
  </si>
  <si>
    <t>722290226R00</t>
  </si>
  <si>
    <t>722290234R00</t>
  </si>
  <si>
    <t>722254221RT2</t>
  </si>
  <si>
    <t>725</t>
  </si>
  <si>
    <t>725017123R00</t>
  </si>
  <si>
    <t>725814105R00</t>
  </si>
  <si>
    <t>725823121RT0</t>
  </si>
  <si>
    <t>725017122RD</t>
  </si>
  <si>
    <t>762</t>
  </si>
  <si>
    <t>762523108RT3</t>
  </si>
  <si>
    <t>764</t>
  </si>
  <si>
    <t>764252403R00</t>
  </si>
  <si>
    <t>764259616R00</t>
  </si>
  <si>
    <t>764291410R00</t>
  </si>
  <si>
    <t>764554404R00</t>
  </si>
  <si>
    <t>766</t>
  </si>
  <si>
    <t>766622234R</t>
  </si>
  <si>
    <t>766660014R</t>
  </si>
  <si>
    <t>767</t>
  </si>
  <si>
    <t>767590110R00</t>
  </si>
  <si>
    <t>55347146</t>
  </si>
  <si>
    <t>55340040p</t>
  </si>
  <si>
    <t>55347095z</t>
  </si>
  <si>
    <t>317317013</t>
  </si>
  <si>
    <t>767640116RA0</t>
  </si>
  <si>
    <t>767833100R00</t>
  </si>
  <si>
    <t>767640118RA0</t>
  </si>
  <si>
    <t>767834102R00</t>
  </si>
  <si>
    <t>31186303</t>
  </si>
  <si>
    <t>767995101R00</t>
  </si>
  <si>
    <t>767995102R00</t>
  </si>
  <si>
    <t>767995103R00</t>
  </si>
  <si>
    <t>767995105R00</t>
  </si>
  <si>
    <t>767995107R00</t>
  </si>
  <si>
    <t>13640710</t>
  </si>
  <si>
    <t>767996803R00</t>
  </si>
  <si>
    <t>771</t>
  </si>
  <si>
    <t>771101210RT1</t>
  </si>
  <si>
    <t>771575107RT2</t>
  </si>
  <si>
    <t>597623122</t>
  </si>
  <si>
    <t>776</t>
  </si>
  <si>
    <t>776101115R00</t>
  </si>
  <si>
    <t>776101121R00</t>
  </si>
  <si>
    <t>24696905.A</t>
  </si>
  <si>
    <t>776521200RV</t>
  </si>
  <si>
    <t>777</t>
  </si>
  <si>
    <t>777611901R00</t>
  </si>
  <si>
    <t>777114031R00</t>
  </si>
  <si>
    <t>784</t>
  </si>
  <si>
    <t>784131101R00</t>
  </si>
  <si>
    <t>784135312R00</t>
  </si>
  <si>
    <t>831350013RAV</t>
  </si>
  <si>
    <t>952901221R00</t>
  </si>
  <si>
    <t>953941312R00</t>
  </si>
  <si>
    <t>44984124</t>
  </si>
  <si>
    <t>930120092R</t>
  </si>
  <si>
    <t>962086121R00</t>
  </si>
  <si>
    <t>962081141R00</t>
  </si>
  <si>
    <t>968062357R00</t>
  </si>
  <si>
    <t>9984441 R</t>
  </si>
  <si>
    <t>971033641R00</t>
  </si>
  <si>
    <t>961055111R00</t>
  </si>
  <si>
    <t>981511115R00</t>
  </si>
  <si>
    <t>H02</t>
  </si>
  <si>
    <t>998022021R00</t>
  </si>
  <si>
    <t>M21</t>
  </si>
  <si>
    <t>2100111R</t>
  </si>
  <si>
    <t>M43</t>
  </si>
  <si>
    <t>430832051R00</t>
  </si>
  <si>
    <t>S</t>
  </si>
  <si>
    <t>979011111R00</t>
  </si>
  <si>
    <t>979081111RT3</t>
  </si>
  <si>
    <t>979081121RT3</t>
  </si>
  <si>
    <t>979094211R00</t>
  </si>
  <si>
    <t>979990001R00</t>
  </si>
  <si>
    <t>979990112R00</t>
  </si>
  <si>
    <t>979990162R00</t>
  </si>
  <si>
    <t>Vestavba zkušebních komor, Brno-Medlánky OPRAVA 07/2019</t>
  </si>
  <si>
    <t>Zkrácený popis / Varianta</t>
  </si>
  <si>
    <t>Rozměry</t>
  </si>
  <si>
    <t>Přípravné a přidružené práce</t>
  </si>
  <si>
    <t>Odstranění asfaltobet. krytu do 5 cm, pl. do 50 m2</t>
  </si>
  <si>
    <t>včetně naložení a odvozu na skládku do 1 km</t>
  </si>
  <si>
    <t>Položka obsahuje: skladba dle TP 170, D1-N-6-IV-PII: - řezání živičného krytu tl. 4 cm - odstranění asfaltbetonového krytu tl. 4 cm - řezání podkladního asfaltobetonu tl. 7 cm - odstranění podkladního asfaltobetonu tl. 7 cm - odstranění kameniva zpevněného cementem tl. 12 cm - odstranění štěrkodrti tl. 15 cm - nakládání suti - vodorovná doprava suti do 1 km  Položka neobsahuje poplatek za skládku.</t>
  </si>
  <si>
    <t>Recyklace asf. za studena, tl. 0,15 m, do 5000 m2</t>
  </si>
  <si>
    <t>Recyklace krytů a podkladů vozovek za studena tl. do 0,15 m, plochy do 5000 m2. Bez přidávání pojiv a přísad. První pojezd recykleru - oddělení a předrcení. Druhý pojezd recykleru - mísení, rozhrnutí a předhutněním. Nivelace grejdrem. Finální zhutnění válcem.</t>
  </si>
  <si>
    <t>Hloubené vykopávky</t>
  </si>
  <si>
    <t>Hloubení nezapaž. jam hor.3 do 50 m3, STROJNĚ</t>
  </si>
  <si>
    <t>Položka obsahuje hloubení jámy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</t>
  </si>
  <si>
    <t>Konstrukce ze zemin</t>
  </si>
  <si>
    <t>Zásyp jam, rýh, šachet se zhutněním</t>
  </si>
  <si>
    <t>Položka obsahuje strojní přemístění materiálu pro zásyp ze vzdálenosti do 10 m od okraje zásypu.</t>
  </si>
  <si>
    <t>Základy</t>
  </si>
  <si>
    <t>Beton základových desek prostý C 12/15</t>
  </si>
  <si>
    <t>Položka obsahuje náklady na dodávku a uložení betonu do připravené konstrukce. Bednění se oceňuje samostatně.</t>
  </si>
  <si>
    <t>Železobeton základových patek C 20/25 XC2</t>
  </si>
  <si>
    <t>Položka obsahuje náklady na dodávku a uložení betonu do připravené konstrukce. Bednění a výztuž se oceňuje samostatně.</t>
  </si>
  <si>
    <t>Bednění stěn základových patek - zřízení</t>
  </si>
  <si>
    <t>Bednění stěn základových patek - odstranění</t>
  </si>
  <si>
    <t>Výztuž základových patek z oceli BSt 500 S</t>
  </si>
  <si>
    <t>V položce jsou zakalkulovány náklady na dodání nastříhané a naohýbané výztuže, podložek, distančních vložek, drátu, skob apod., dále náklady na uložení výztuže a její vyvázání nebo přivaření bodovými svary. Náhrada výztuží jakosti BSt 500 S</t>
  </si>
  <si>
    <t>Zdivo základové z bednicích tvárnic, tl. 25 cm  výplň tvárnic betonem C 20/25</t>
  </si>
  <si>
    <t>Položka je určena pro zdivo základové s použitím bednicí tvárnice jako ztraceného bednění,  popřípadě pro nosné zdivo drobných staveb, při vložení armatury též jako zdivo opěrných zdí. Součástí ceny je i výplň betonem. Případné vložení betonářské oceli se oceňuje samostatně.</t>
  </si>
  <si>
    <t>Výztuž základ. zdí nad 12mm, ocel BSt 500 S  roxor</t>
  </si>
  <si>
    <t>Náhrada výztuží jakosti BSt 500 S</t>
  </si>
  <si>
    <t>Základový pas ŽB z betonu C 25/30, vč. bednění</t>
  </si>
  <si>
    <t>Zesílení základového prahu v délce 7m na výšku 1200 s vlepenou výztuží pro spojení, tl 300mm</t>
  </si>
  <si>
    <t>Zdi podpěrné a volné</t>
  </si>
  <si>
    <t>Zazdívka otvorů plochy do 4 m2 cihlami na MVC</t>
  </si>
  <si>
    <t>s použitím suché maltové směsi</t>
  </si>
  <si>
    <t>V položce jsou zakalkulovány náklady na pomocné pracovní lešení o výšce podlahy do 1900 mm a pro zatížení do 1,5 kPa.</t>
  </si>
  <si>
    <t>Připojení zdí ke stáv.konstr.nerez kotvou na hmožd</t>
  </si>
  <si>
    <t>Kotvy z nerez oceli upevněné ke stávající cihelné konstrukci hmoždinkou.</t>
  </si>
  <si>
    <t>Zdivo z HELUZ AKU 30/33,3 MK P20, MC10, tl.30 cm</t>
  </si>
  <si>
    <t>Včetně promaltování styčné spáry.</t>
  </si>
  <si>
    <t>Osazení a dodávka ocelových válcovaných nosníků IPEč.14</t>
  </si>
  <si>
    <t>V položkách je mimo vlastního osazení zakalkulována i dodávka ocelových válcovaných nosníků profilu I č.14 včetně ztratného ve výši 8%, které kryje náklady na prořez (zbytkový odpad) a náklady na řezání příslušných délek.</t>
  </si>
  <si>
    <t>Osazení a dodávka ocelových válcovaných nosníků  IPE č.18</t>
  </si>
  <si>
    <t>V položkách je mimo vlastního osazení zakalkulována i dodávka ocelových válcovaných nosníků profilu I č.18 včetně ztratného ve výši 8%, které kryje náklady na prořez (zbytkový odpad) a náklady na řezání příslušných délek.</t>
  </si>
  <si>
    <t>Mtž Kingspan k oc.prof.,stěna složitá,TL,tl.100 mm</t>
  </si>
  <si>
    <t>včetně lemovacích plechů a včetně kladečského a výrobního plánu</t>
  </si>
  <si>
    <t>Stěna složitá - členitá s otvory.</t>
  </si>
  <si>
    <t>Panel sendvičový stěnový PDD tl. jádra 100 mm</t>
  </si>
  <si>
    <t>Tepelně izolační sendvičové panely z polyisokyanurátovým (PIR) jádrem. Izolační jádro z PIRu má objemovou hustotu 40 kg/m3. Panel je oboustranně kryt ocelovým plechem o tloušťce 0,50 mm. Povrch je vždy lakovaný a pozinkován. Panel má systém přiznaného kotvení. Tloušťka 50 mm a více je vyráběna s labyrintovým zámkem. Klasický je pro tloušťku 25 - 40mm. Vrchní a spodní vrstva s 25 my polyesterlaku.  - PUR pěna bez freonu, nadouvadlo pentan - PUR izolační jádro s objemovou hmotností cca 40 kg/m3 - rozměrová tolerance dle DIN 18164 - STV 025 W/(m2 K) - zvuková izolace cca 25 dB u všech izolačních tlouštěk</t>
  </si>
  <si>
    <t>Stěny a příčky</t>
  </si>
  <si>
    <t>Příčka SDKtl.150 mm,ocel.kce,2x oplášť.,RBI 12,5mm</t>
  </si>
  <si>
    <t>izolace tloušťky 80 mm, EI 60</t>
  </si>
  <si>
    <t>Příčka sádrokartonová Rigips, systém SK14 odpovídá W112, jednoduchá ocelová konstrukce, 2x opláštěná, tl. 150 mm, s minerální izolací  tl. 80 mm, desky impregnované RBI (H2)  tl. 12,5 mm. Požární odolnost EI 60.  3.40.06</t>
  </si>
  <si>
    <t>Plentování ocelových nosníků výšky do 20 cm</t>
  </si>
  <si>
    <t>s použitím suché maltové směsi, bude provedeno z každé strany překladu.</t>
  </si>
  <si>
    <t>Jednostranné plentování jakýmikoliv cihlami na jakoukoliv maltu.</t>
  </si>
  <si>
    <t>Různé kompletní konstrukce - ocelové kontrukce</t>
  </si>
  <si>
    <t>Ocelová nosná.konstrukce hal, dodávka, montáž - PŘÍSTAVBA</t>
  </si>
  <si>
    <t xml:space="preserve">  vč. povrchových úprav (nátěry. viz legenda statiky) a všech detailů, součástí položky je VŽDY veškerá manipulační technika a všechen spojovací materiál._x000D_
V ceně je i dílenská a výrobní dokumentace.</t>
  </si>
  <si>
    <t>Montáž a dodávka rolovacích vrat 5x3m  s pohonem, kompletní</t>
  </si>
  <si>
    <t>4 prosklené lamely RAL 7016  ANTRACIT, včetně olemování kolem otvoru v obvodovém sendvičovém panelu.</t>
  </si>
  <si>
    <t>Montáž a dodávka rolovacích vrat 3x3m  s pohonem, kompletní</t>
  </si>
  <si>
    <t>RAL 7016  ANTRACIT, včetně olemování kolem otvoru v obvodovém sendvičovém panelu.</t>
  </si>
  <si>
    <t>Ocelová nosná.konstrukce hal, dodávka, montáž - VESTAVBA</t>
  </si>
  <si>
    <t xml:space="preserve">   vč. povrchových úprav (nátěry. viz legenda statiky) a všech detailů, součástí položky je VŽDY veškerá manipulační technika a všechen spojovací materiál._x000D_
V ceně je i dílenská a výrobní dokumentace.</t>
  </si>
  <si>
    <t>Stropy a stropní konstrukce - velíny v mezipatře</t>
  </si>
  <si>
    <t>Bednění stropů plech pozink. vlna 50 mm tl. 1,5 mm</t>
  </si>
  <si>
    <t>Položka je určena pro zabudované bednění ze širokých tenkostěnných ohýbaných profilů (hraněných trapézových vln), bez podpěrné konstrukce, s osazením nasucho. Konstrukce ocelového profilovaného bednění tvoří monolitický žebrovaný strop, pro který platí položky betonů 41132-2121 až -2424, položky výztuže 41136 pokud je předepsána a položky podpěrné konstrukce 41135-4171 až -4188.</t>
  </si>
  <si>
    <t>Podpěrná konstr. stropů do 20 kPa - zřízení</t>
  </si>
  <si>
    <t>Položka je určena pro podpěrnou konstrukci stropů do výšky 4 m.</t>
  </si>
  <si>
    <t>Podpěrná konstr. stropů do 20 kPa - odstranění</t>
  </si>
  <si>
    <t>Stropy deskové ze železobetonu C 25/30</t>
  </si>
  <si>
    <t>V položce nejsou zakalkulovány náklady na pomocné lešení o výšce podlahy do 1900 mm a pro zatížení do 1,5 kPa. Bednění se oceňuje položkami souboru 41135 Bednění stropů. Výztuž se oceňuje položkami souboru 41136 Výztuž stropů.</t>
  </si>
  <si>
    <t>Výztuž stropů svařovanou sítí</t>
  </si>
  <si>
    <t>průměr drátu  4,0, oka 100/100 mm KA16</t>
  </si>
  <si>
    <t>Položka je určena pro stropy prostě uložené, vetknuté i spojité, deskové, trámové (žebrové, kazetové), s keramickými a jinými vložkami, konzolové nebo balkonové, hřibové včetně hlavic hřibových sloupů, pro ploché střechy a pro zavěšení železobetonových podhledů.</t>
  </si>
  <si>
    <t>Dodatečné osazení válcovaných nosníků + uložením na ocelovou plotnu a nosník IPE 160  dl 600mm</t>
  </si>
  <si>
    <t>vysekání kapes, zazdívka zhlaví</t>
  </si>
  <si>
    <t>V položce není kalkulován poplatek za skládku pro vybouranou suť. Tyto náklady se oceňují individuálně podle místních podmínek. Orientační hmotnost vybouraných konstrukcí je 0,024 t/m konstrukce.</t>
  </si>
  <si>
    <t>Zastřešení</t>
  </si>
  <si>
    <t>Mtž Kingspan k oc.prof, střecha jedn.,RW,tl.120 mm</t>
  </si>
  <si>
    <t>včetně lemovacích plechů  a včetně kladečského a výrobního plánu</t>
  </si>
  <si>
    <t>Střecha jednoduchá - rovná nebo oblouková bez otvorů.</t>
  </si>
  <si>
    <t>Panel sendvičový střešní TD5 tl. jádra 120 mm</t>
  </si>
  <si>
    <t>Tepelně izolační polyisokyanurátové (PIR) panely určené pro zastřešení vytápěných a temperovaných hal, skladů a provozů. Panel se skládá z izolačního jádra o tloušťce 20 až 120mm, vrchním trapézovým profilem a spodní lineární profilací plechu. Panel je vhodný jak pro novostavby tak pro rekonstrukce stávajících objektů.  Vrchní a spodní vrstva s 25 my polyesterlaku.  - PUR pěna bez freonu a HFCKW - PUR izolační jádro s objemovou hmotností od ca. 40 kg/m3 - rozměrová tolerance dle DIN 18164 - STV 025 W/(m2 K) - zvuková izolace ca. 25 dB u všech izolačních tlouštěk - třída ochrany před požárem B2</t>
  </si>
  <si>
    <t>Kryty pozemních komunikací a ploch z kameniva nebo živičné</t>
  </si>
  <si>
    <t>Podklad ze štěrkodrti po zhutnění tloušťky 19 cm</t>
  </si>
  <si>
    <t>štěrkodrť frakce 0-63 mm</t>
  </si>
  <si>
    <t>Podklad z obal kamen.ACP 16+, š.nad 3 m, tl. 16 cm</t>
  </si>
  <si>
    <t>Postřik živičný spojovací z emulze asfaltu 0,2 kg/m2, celkem 3x dle skladby S/08</t>
  </si>
  <si>
    <t>Koberec asfalt.mastix SMA 11 S (AKMS) nad 3 m,4 cm</t>
  </si>
  <si>
    <t>Beton asf.ACL 22 S,modif.ložný š.nad 3 m, tl. 8 cm</t>
  </si>
  <si>
    <t>Beton asfalt. ACL 22 ložný, š. nad 3 m, tl. 10 cm</t>
  </si>
  <si>
    <t>Kryty pozemních komunikací</t>
  </si>
  <si>
    <t>Montáž odvod.mikroštěrbinových trub -trouba dl.1 m  Z/03</t>
  </si>
  <si>
    <t>včetně trouby bez vnitřního spádu 220/260/1000</t>
  </si>
  <si>
    <t>Položka obsahuje zřízení podkladního betonu tl. 100 mm, položení lože ze suchého betonu tl. 30 mm a montáž trub. Položka neobsahuje náklady na zálivku dilatační spáry se sousední konstrukcí.</t>
  </si>
  <si>
    <t>APR2-1101 Průmyslový štěrbinový žlab AISI304   Z/03</t>
  </si>
  <si>
    <t>Pro odvodnění s menším průtokem vody, pro účely sanitace, dělicí bariéra mezi suchým/mokrým provozem  Pro odvodnění velkých průmyslových prostor a jiných komerčních provozů uvnitř budov, např. v chemickém a potravinářském průmyslu  Délka žlabu 1 m  Materiál žlabu: nerezová ocel 1,5 mm, DIN 1.4301  Pevné ukotvení v betonu pomocí jednoduše nastavitelných noh a bočních kotev  Použité těsnění zajišťuje zcela vodotěsný spoj  Šířka vtokové štěrbiny 22 mm  Stavitelné nohy v rozmezí 20-145 mm</t>
  </si>
  <si>
    <t>Úprava povrchů vnitřní</t>
  </si>
  <si>
    <t>Omítka vnitřní zdiva, MVC, na pletivu, hladká</t>
  </si>
  <si>
    <t>Tato položka je určena pro jakýkoliv druh podkladu. V položce nejsou zakalkulovány náklady na dodání pletiva.</t>
  </si>
  <si>
    <t>Omítka vnitřní stropů rovných, MVC, hladká</t>
  </si>
  <si>
    <t>Montáž výztužné sítě (perlinky) do stěrky-stropy</t>
  </si>
  <si>
    <t>včetně výztužné sítě a stěrkového tmelu Baumit</t>
  </si>
  <si>
    <t>Položka obsahuje montáž pomocného lešení, natažení stěrkového tmelu, vtlačení výztužné sítě a rozetření tmelu.</t>
  </si>
  <si>
    <t>Omítka rýh stěn sádrová o šířce do 5 cm</t>
  </si>
  <si>
    <t>Zapravení drážek po instalacich</t>
  </si>
  <si>
    <t>Podlahy a podlahové konstrukce</t>
  </si>
  <si>
    <t>Mazanina betonová tl. 12 - 24 cm C 25/30, vyztužená ocelovými vlákny 20 kg/m3</t>
  </si>
  <si>
    <t>Položka je určena pro mazaninu hlazenou dřevěným hladítkem a to pro mazaninu krycí, popř. podkladní nebo vyrovnávací nebo plovoucí, pod potěry, vlýsky do asfaltu, pod podlahy. Mazaniny tlouštěk nad 24 cm se oceňují položkami souboru 411 31 Beton kleneb v nadzemních podlažích. V položce jsou zakalkulovány i náklady na vytvoření dilatačních spár v mazanině bez zaplnění. Tyto náklady se oceňují položkami souboru 634 60 Zaplnění dilatačních spár v mazaninách. Pro zvýšení pevnosti mazaniny jsou použita do betonové směsi ocelová vlákna.</t>
  </si>
  <si>
    <t>Čištění ploch betonových konstrukcí tlakovou vodou</t>
  </si>
  <si>
    <t>Výplně otvorů</t>
  </si>
  <si>
    <t>Osazení zárubní dveřních ocelových, pl. do 2,5 m2, včetně dodávky zárubně  80 x 197 x 11 cm</t>
  </si>
  <si>
    <t>Položka je určena pro osazování zárubní nebo rámů dveřních ocelových lisovaných i z úhelníků bez dveřních křídel na jakoukoliv cementovou maltu s vybetonováním prahu v zárubni a s osazením špalíků nebo latí pro dřevěný práh. Položka je určena také pro osazování zárubní a rámů do stěn z prefa dílců, které se provádí současně nebo bezprostředně po osazení stěnových dílců; podobně je určena pro konstrukce zděné nad 150 mm tloušťky, kde se osazování provádí převážně až po jejich vyzdění. Položka kryje vybetonování nadvýšeného prahu u balkónových dveří. Položka je určena i pro osazení ocelových rámů na maltu určených pro zasklívání sklem profilovaným (Copillit apod.). V položce jsou zakalkulovány náklady na kotvení rámů do zdiva a platí pro jakýkoliv způsob provádění (např. bodovým přivařením k výztuži, uklínováním, zalitím pracen apod.). V položce jsou</t>
  </si>
  <si>
    <t>zakalkulovány i náklady na dodávku zárubní. Volba položky se řídí plochou otvoru.</t>
  </si>
  <si>
    <t>Osazení zárubní dveřních ocelových, pl. do 2,5 m2,včetně dodávky zárubně  90 x 197 x 11 cm</t>
  </si>
  <si>
    <t>Zazdění otvoru 1,5x 1,5 m, omítky</t>
  </si>
  <si>
    <t>zeď tloušťky 15 cm, cihlou plnou pálenou na MVC</t>
  </si>
  <si>
    <t>Izolace proti vodě</t>
  </si>
  <si>
    <t>Izolace nádrží a jímek vodorovná a svislá, DLW FÓLIE + GEOTEXTILIE 500g/m2</t>
  </si>
  <si>
    <t>Izolace proti vodě svislá přitavená, 2x</t>
  </si>
  <si>
    <t>2x ALP, 2x např. Sklobit, 1x Na (penetrační nátěr)</t>
  </si>
  <si>
    <t>Deska např. Synthos XPS PRIME G 30IR 1250 x 600 x 80 mm</t>
  </si>
  <si>
    <t>Synthos XPS PRIME G 30IR - desky s mřížkovaným povrchem a rovnou hranou  Synthos XPS PRIME G je tepelně izolační materiál ve formě desky, která vzniká během lisování a zpěňování. Charakterizuje se specifickou jemnou strukturou pěny s nízkou hustotou a uzavřenou buněčnou strukturou. Je vyráběn na bázi polystyrenové pryskyřice. Obsahuje prostředek zabraňující vzplanutí (&gt; 0,1% HBCD). Výrobek neobsahuje zpěňovací činidla na bázi CFC (chlorfluoruhlovodíky), HCFC (hydrochlorfluoruhlovodíky) ani HFC (hydrofluoruhlovodíky).  Rozměry - 1250 x 600 mm Profil hrany - rovný Povrch - mřížkovaný Pevnost v tlaku při 10% stlačení - 300 kPa</t>
  </si>
  <si>
    <t>Izolace tepelné</t>
  </si>
  <si>
    <t>Izolace tepelné stropů rovných spodem, lepením</t>
  </si>
  <si>
    <t>V položce není zakalkulována dodávka izolačního materiálu.Tato dodávka se oceňuje ve specifikaci.Při stanovení množství tepelné izolace se z celkového množství neodečítají otvory nebo neizolované plochy menší než 2 m2.</t>
  </si>
  <si>
    <t>Deska izolační minerální, např. Rockmin PLUS tl. 120 mm</t>
  </si>
  <si>
    <t>Měkká a lehká deska z kamenné vlny (minerální plsti) pojené organickou pryskyřicí, v celém objemu hydrofobizovaná.  Deska ROCKMIN PLUS je určena pro stavební tepelné a protipožární izolace v oblasti vnějších konstrukcí - šikmých střech, podkroví, vnitřních konstrukcí - stropů, podlah mezi trámy nebo polštáře, dělicích stěn, příček, podhledů a dalších bez mechanického zatížení izolační výplně.  rozměr: 610 x 1000 mm  součinitel tepelné vodivosti 0,037 W/mK objemová hmotnost: 30 kg/m3</t>
  </si>
  <si>
    <t>Izolace akustické a protiotřesová opatření</t>
  </si>
  <si>
    <t>Montáž akust. obklad. panelů, uchycení šrouby na patkách ocel. konstrukce střechy  Z/13</t>
  </si>
  <si>
    <t>V položce nejsou zakalkulovány náklady na lištování,tyto práce se oceňují položkami souboru 714 19-....Ostatní práce části A 01 a na povrchovou úpravu.</t>
  </si>
  <si>
    <t>Žaluzie protidešťová PDZM 800x2000</t>
  </si>
  <si>
    <t>Žaluzie protidešťové  Protidešťová žaluzie chrání nasávací a výfukové otvory vzduchotechnických zařízení před nečistotami, deštěm, sněhem nebo proti vniknutí drobných živočichů. Je vyrobena z pravoúhlého rámu, do kterého jsou upevněny vodorovné lamely. Žaluzie jsou určeny pro vzdušiny bez abrazivních, chemických a lepivých příměsí.  provedení pozink + upevňovací rám</t>
  </si>
  <si>
    <t>Montáž akust. doplňků, dveře 1křídlo 80x197 cm</t>
  </si>
  <si>
    <t>V položce nejsou zakalkulovány náklady na zalití osazené ocelové zárubně(osazovacího rámu) včetně dodání malty pro zvukotěsné dveře. Tyto práce se oceňují položkami 642 94-.... ceníku 801-1 Běžné stavební práce.</t>
  </si>
  <si>
    <t>Vnitřní kanalizace</t>
  </si>
  <si>
    <t>Potrubí HT připojovací D 50 x 1,8 mm -  k umyvadlům</t>
  </si>
  <si>
    <t>Potrubí HT odpadní svislé D 75 x 1,9 mm -  k umyvadlům</t>
  </si>
  <si>
    <t>Potrubí HT svodné (ležaté) zavěšené D 75 x 1,9 mm</t>
  </si>
  <si>
    <t>Potrubí HT dešťové (svislé) D 75 x 1,9 mm</t>
  </si>
  <si>
    <t>Potrubí KG svodné (ležaté) v zemi D 110 x 3,2 mm</t>
  </si>
  <si>
    <t>Potrubí KG svodné (ležaté) v zemi D 125 x 3,2 mm</t>
  </si>
  <si>
    <t>Potrubí KG svodné (ležaté) v zemi D 160 x 4,0 mm</t>
  </si>
  <si>
    <t>Vyvedení odpadních výpustek D 50 x 1,8  -  k umyvadlům</t>
  </si>
  <si>
    <t>Lapač střešních splavenin litinový DN 150</t>
  </si>
  <si>
    <t>Zkouška těsnosti kanalizace vodou DN 50 až DN 160</t>
  </si>
  <si>
    <t>Vnitřní vodovod</t>
  </si>
  <si>
    <t>Potrubí z trub.závit.pozink.svařovan. 11343,DN 20</t>
  </si>
  <si>
    <t>Izolace návleková MIRELON PRO tl. stěny 13 mm   studená voda</t>
  </si>
  <si>
    <t>vnitřní průměr 15 mm</t>
  </si>
  <si>
    <t>V položce je kalkulována dodávka izolační trubice, spon a lepicí pásky.</t>
  </si>
  <si>
    <t>Izolace návleková MIRELON PRO tl. stěny 20 mm  teplá voda</t>
  </si>
  <si>
    <t>Vyvedení a upevnění výpustek DN 20</t>
  </si>
  <si>
    <t>Kohout vod.kul.,vnitř.-vnitř.z. např.IVAR PERFECTA DN 20</t>
  </si>
  <si>
    <t>Zkouška tlaku potrubí závitového DN 50</t>
  </si>
  <si>
    <t>Proplach a dezinfekce vodovod.potrubí DN 80</t>
  </si>
  <si>
    <t>Hydrantový systém D25, box prosklený</t>
  </si>
  <si>
    <t>průměr 25/30, stálotvará hadice</t>
  </si>
  <si>
    <t>Hydrantový systém D25 se stálotvarou hadicí dle ČSN 730873 EN 671 - 1.</t>
  </si>
  <si>
    <t>Zařizovací předměty</t>
  </si>
  <si>
    <t>Umyvadlo na šrouby např. CUBITO 60 x 45 cm, bílé</t>
  </si>
  <si>
    <t>+ sifon</t>
  </si>
  <si>
    <t>Ventil rohový s filtrem např. IVAR.70872 DN 15 x DN 10</t>
  </si>
  <si>
    <t>Baterie umyvadlová stoján. ruční, vč. otvír.odpadu</t>
  </si>
  <si>
    <t>základní</t>
  </si>
  <si>
    <t>Demintáž - umyvadlo na šrouby</t>
  </si>
  <si>
    <t>Konstrukce tesařské</t>
  </si>
  <si>
    <t>Položení podlah hoblovaných na sraz z fošen  T/04   OBSLUŽNÁ ULIČKA PRO VZT</t>
  </si>
  <si>
    <t>včetně dodávky, fošny hoblované tl. 45 mm</t>
  </si>
  <si>
    <t>Konstrukce klempířské</t>
  </si>
  <si>
    <t>Žlaby Ti Zn plech, podokapní půlkruhové, rš 330 mm</t>
  </si>
  <si>
    <t>včetně čel a háků z Ti Zn půlkruhových</t>
  </si>
  <si>
    <t>Položka je kalkulována včetně háků, čel, rohů, rovných hrdel a dilatací.  Plech dovoz z Francie</t>
  </si>
  <si>
    <t>Kotlík závěsný TiZn RHEINZINK půlkulatý,330/150 mm</t>
  </si>
  <si>
    <t>Závětrná lišta z Ti Zn plechu, rš 250 mm</t>
  </si>
  <si>
    <t>Odpadní trouby z Ti Zn plechu, kruhové, D 150 mm</t>
  </si>
  <si>
    <t>Položka je kalkulována včetně nákladů na dodání zděří, manžet, odboček, kolen, odskoků, výpustí vody a přechodových kusů.  Plech dovoz z Francie.</t>
  </si>
  <si>
    <t>Konstrukce truhlářské</t>
  </si>
  <si>
    <t>Okna komplet.otvíravá plastová - dodávka a montáž</t>
  </si>
  <si>
    <t>V položce je zakalkulována montáž okapnice nad okenním křídlem. Dále obsahuje oplechování špalet okna, těsnící pásky.</t>
  </si>
  <si>
    <t>Montáž a dodávka dveří jednokřídlových šířky 80 cm, komplet</t>
  </si>
  <si>
    <t>Dodávka a montáž prahu, včetně kování, zámku ad.</t>
  </si>
  <si>
    <t>Montáž a dodávka dveří jednokřídlových šířky 90 cm, komplet</t>
  </si>
  <si>
    <t>Konstrukce doplňkové stavební (zámečnické)</t>
  </si>
  <si>
    <t>Montáž podlahových roštů - svařováním</t>
  </si>
  <si>
    <t>Rošt podlahový 30/3 svařovaný "SP" 1000x1000 mm</t>
  </si>
  <si>
    <t>DIN 24 537</t>
  </si>
  <si>
    <t>M+D Poklop pochozí, parotěsný, uzamykatelný 670x670x45 mm  Z/04</t>
  </si>
  <si>
    <t>Technický popis: Rám a poklop jsou vyrobeny z oceli s povrchovou úpravou žárovým zinkováním. Poklop je včetně těsnění.  Použití: Zakrytí inspekčních šachet v prostředí dlážděných zón, kde je kladen vysoký důraz na design. Nosnost 12,5 t</t>
  </si>
  <si>
    <t>Montáž a dodávka  zábradlí pozinkované / 1 m s příslušenstvím (jackly, ad.) Z/06, Z/14</t>
  </si>
  <si>
    <t>Řetěz svař.kroucený polodl. např. 4x32 mm  odnímatelný</t>
  </si>
  <si>
    <t>svařovaný řetěz, nezkoušený, kroucený</t>
  </si>
  <si>
    <t>Dveře hliníkové jednokřídlové 80 x 197 cm  PL/06  plné  s panikovou klikou</t>
  </si>
  <si>
    <t>včetně olemování kolem otvoru v obvodovém sendvičovém panelu.</t>
  </si>
  <si>
    <t>Montáž žebříků do zdiva s bočnicemi   Z/08</t>
  </si>
  <si>
    <t>Dveře hliníkové jednokřídlové 90 x 197 cm, částečně prosklené s panikovou klikou Z/12</t>
  </si>
  <si>
    <t>Montáž ochranného koše svařováním</t>
  </si>
  <si>
    <t>Žebřík s ochranným košem, 50 x 50 x 6 délka 7200 mm  Z/08</t>
  </si>
  <si>
    <t>obsahuje dodávku prvků včetnš jejich svaření, povrchová úprava pozink.</t>
  </si>
  <si>
    <t>Výroba a montáž kov. atypických konstr. do 5 kg  Z/09</t>
  </si>
  <si>
    <t>Výroba a montáž kov. atypických konstr. do 10 kg  Z/10</t>
  </si>
  <si>
    <t>Výroba a montáž kov. atypických konstr. do 20 kg  Z/11</t>
  </si>
  <si>
    <t>Výroba a montáž kov. atypických konstr. do 100 kg   Z/02 LEMOVACÍ OCELOVÝ PROFIL</t>
  </si>
  <si>
    <t xml:space="preserve"> L 250x250x22 - 82,8kg/m - CELKOVÁ DÉLKA 22,24M</t>
  </si>
  <si>
    <t>Výroba a montáž kov. atypických konstr. do 500 kg  Z/07</t>
  </si>
  <si>
    <t>ZAKRYTÍ STÁVAJÍCÍHO PROSTORU (PRO PLASTOVOU NÁDRŽ</t>
  </si>
  <si>
    <t>Plech lístkový DIN 59220/83   3x1000x2000 mm, vč. revizní poklop 600/600 mm  Z/07</t>
  </si>
  <si>
    <t>hmotnost 1 m2 = 25,55 kg  válcovaný za tepla jakost S235JRG2 dle EN 10025+A1</t>
  </si>
  <si>
    <t>Demontáž atypických ocelových konstr. do 250 kg</t>
  </si>
  <si>
    <t>Podlahy z dlaždic</t>
  </si>
  <si>
    <t>Penetrace podkladu pod dlažby</t>
  </si>
  <si>
    <t>penetrační nátěr Primer G</t>
  </si>
  <si>
    <t>Položka obsahuje montáž a dodávku penetračního nátěru pro zlepšení kontaktu s lepicím tmelem.</t>
  </si>
  <si>
    <t>Montáž podlah keram.,režné hladké, tmel, 20x20 cm</t>
  </si>
  <si>
    <t>Monoflex (lepidlo), ASO-Flexfuge (spár. hmota)</t>
  </si>
  <si>
    <t>Spotřeba lepidla pro zubovou stěrku 6 mm, spotřeba spárovací hmoty pro spáru šířky 5, výšky 8 mm.</t>
  </si>
  <si>
    <t>Dlaždice 20x20cm, např.Color Two šedá mat</t>
  </si>
  <si>
    <t>glazované hutné keramické dlaždice</t>
  </si>
  <si>
    <t>Podlahy povlakové</t>
  </si>
  <si>
    <t>Vyrovnání podkladů samonivelační hmotou</t>
  </si>
  <si>
    <t>Položka je určena pro vyrovnání podlahy před kladením nebo lepením povlakových podlah. Položka obsahuje :  - zametení podkladu, - případné rozmíchání suché směsi s vodou, - lití na podklad, popřípadě rozetření hladkou stěrkou. Položka neobsahuje žádný materiál.</t>
  </si>
  <si>
    <t>Provedení penetrace podkladu pod.povlak.podlahy</t>
  </si>
  <si>
    <t>Položka obsahuje provedení penetračního nátěru pro zlepšení kontaktu podkladu s lepicím materiálem. Položka neobsahuje žádný materiál.</t>
  </si>
  <si>
    <t>Primer G nátěr základ.synt. pro savý podklad Mapei</t>
  </si>
  <si>
    <t>použití: pro vnitřní použití k snížení savosti podkladu před nanesením tmelů pro lepení obkladů nebo stěrky, ředí se vodou v poměru 1:1 až 1:3 spotřeba: 0,1 - 0,2 kg/m2  balení: nádoba po 25 kg</t>
  </si>
  <si>
    <t>Lepení a dodávka povlakových podlah z dílců PVC a CV (vinyl)  tl. 3 mm</t>
  </si>
  <si>
    <t>Podlahy ze syntetických hmot</t>
  </si>
  <si>
    <t>Opravy podlah-epoxidová penetrace S 1300</t>
  </si>
  <si>
    <t>Podlahy lité průmyslové samonivel. epoxid, např. systém Mapei tl. 15 (30) mm</t>
  </si>
  <si>
    <t>Pro střední mechanickou zátěž. Penetrace Primer G, vytvářející adhezní můstek, nivelační hmota Plano 3 a dvojnásobný nátěr Mapecoat I24.</t>
  </si>
  <si>
    <t>Malby</t>
  </si>
  <si>
    <t>Penetrace podkladu nátěrem např.mAustis, Eternal IN 1 x</t>
  </si>
  <si>
    <t>Základní nátěr pro úpravu podkladů před natíráním disperzními barvami. Ředění vodou obvykle 3 : 1.</t>
  </si>
  <si>
    <t>Malba např. Eternal IN+, bílá, bez penetrace, 2 x</t>
  </si>
  <si>
    <t>Exkluzivní vnitřní disperzní zářivě bílá barva výrobce Austis, pro povrchovou úpravu stěn interiéru. Vyznačuje se vysokou kryvostí nátěrů sádrokartonu, je omyvatelná a otěruvzdorná i za vlhka. Je zvláště vhodná do interiérů veřejných budov.</t>
  </si>
  <si>
    <t>Potrubí z trub kameninových</t>
  </si>
  <si>
    <t>Nové dešťové ležaté potrubí z KG DN 250 včetně nových lapačů naplavenin 2x</t>
  </si>
  <si>
    <t>hloubka 1,5 m, pro nové napojení deštové kanalizace – vrchní kryt je z živice</t>
  </si>
  <si>
    <t>V položce je zakalkulováno: hloubení rýh, pažení a rozepření rýh včetně přepažování, svislé přemístění, naložení přebytku po zásypu (0,598 m3/m rýhy) na dopravní prostředek, odvoz do 6 km a uložení na skládku, lože pod potrubí ze štěrkopísku, dodávka a montáž potrubí z trub KG vnějšího průměru dle popisu,  zřízení kanalizační přípojky (1 kus/20 m potrubí), dodávka a montáž KG tvarovek odbočných (1 kus/ 20 m potrubí), dodávka a montáž KG tvarovek jednoosých (1 kus/ 20 m potrubí), obsyp potrubí pískem, zásyp rýhy sypaninou, se zhutněním. V položce JE kalkulován poplatek za skládku zeminy. Vrchní kryt je z živice!</t>
  </si>
  <si>
    <t>Různé dokončovací konstrukce a práce na pozemních stavbách</t>
  </si>
  <si>
    <t>Vyčištění průmyslových budov a objektů výrobních</t>
  </si>
  <si>
    <t>Položka je určena pro vyčištění budov a objektů výrobních, skladovacích, garáží, dílen nebo hal apod. s nespalnou podlahou - 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před předáním do užívání. Množství měrných jednotek se určuje v m2 půdorysné plochy každého podlaží, dané vnějším obrysem budovy. Plochy balkonů se přičítají. Střešní plochy hal se světlíky nebo okny se oceňují jako podlaží položkou -1221. Výška podlaží nerozhoduje. Položka je určena za předkolaudační úklid.</t>
  </si>
  <si>
    <t>Osazení hasicího přístroje na stěnu</t>
  </si>
  <si>
    <t>Položka neobsahue dodávku držáku hasicího přístroje (držák je součástí hasicího přístroje).</t>
  </si>
  <si>
    <t>Přístroj hasicí práškový, např.  NEURUPPIN PG 6 PDC</t>
  </si>
  <si>
    <t>Práškový hasící přístroj NEURUPPIN  určení: hašení požárů tř. ABC a hašení požárů pod napětím do 1000 V ze vzdálenosti min. 1m hasící látka:  NEUTREX ABC 70 výtlačný prostředek: dusík (N)  obj.č. 449 324 1046 účinný dostřik: 5 až 6 m hasební účinek dle EN3: 21A183BC hmotnost nápně: 6 kg hmotnost přístroje: 9,5 kg rozměry: výška/pr. nádoby  540/150 mm</t>
  </si>
  <si>
    <t>Zhotovení prostupů do DN 350</t>
  </si>
  <si>
    <t>Bourání konstrukcí . přístavku</t>
  </si>
  <si>
    <t>Bourání stěn z plynosilik. a pórobetonu tl.30 cm, včetně sekundární konstrukce</t>
  </si>
  <si>
    <t>V ceně obsaženo i stržení klempířských konstrukcí.</t>
  </si>
  <si>
    <t>V položce není kalkulována manipulace se sutí, která se oceňuje samostatně položkami souboru 979.</t>
  </si>
  <si>
    <t>Bourání příček ze skleněných tvárnic tl. 15 cm</t>
  </si>
  <si>
    <t>Vybourání  rámů oken dvojitých nad  4 m2</t>
  </si>
  <si>
    <t>včetně vnitřních a vnějších parapetů.</t>
  </si>
  <si>
    <t>V položce není kalkulována manipulace se sutí, která se oceňuje samostatně položkami souboru 979. V položce není zakalkulováno vyvěšení křídel. Tyto práce se oceňují samostatně položkami souboru 968 06 -11 Vyvěšení dřevěných křídel. Položka se používá pro okna dvojitá nebo zdvojená.</t>
  </si>
  <si>
    <t>Demontáž střech kompletní, včetně odvozu na skladku</t>
  </si>
  <si>
    <t>Vybourání otv. zeď cihel. pl.4 m2, tl.30 cm, MVC</t>
  </si>
  <si>
    <t>Bourání základů železobetonových - sokly</t>
  </si>
  <si>
    <t>Demolice komínu</t>
  </si>
  <si>
    <t>Demolice konstr.komínu postup.rozebráním,zdivo žáruvzdor</t>
  </si>
  <si>
    <t>veškerá práce, včetně přesunu na skládku, včetně poplatku</t>
  </si>
  <si>
    <t>Haly občanské výstavby</t>
  </si>
  <si>
    <t>Přesun hmot pro haly výšky do 20 m</t>
  </si>
  <si>
    <t>Elektromontáže</t>
  </si>
  <si>
    <t>Montáž a dodávka vnitřní elektroinstalace, včetně svítidel dle PD</t>
  </si>
  <si>
    <t>viz samostatný rozpočet</t>
  </si>
  <si>
    <t>Montáže ocelových konstrukcí</t>
  </si>
  <si>
    <t>Krytina z podlahových ocelových roštů, příchytkami   Z/06</t>
  </si>
  <si>
    <t>PORO a TECHNA rošty</t>
  </si>
  <si>
    <t>Přesuny sutí</t>
  </si>
  <si>
    <t>Svislá doprava suti a vybour. hmot za 2.NP a 1.PP</t>
  </si>
  <si>
    <t>Položka je určena pro dopravu suti a vybouraných hmot za prvé podlaží nad nebo pod základním podlažím. Svislá doprava suti ze základního podlaží se neoceňuje. Základním podlažím je zpravidla přízemí.</t>
  </si>
  <si>
    <t>Odvoz suti a vybour. hmot na skládku do 1 km</t>
  </si>
  <si>
    <t>kontejnerem 7 t</t>
  </si>
  <si>
    <t>Příplatek k odvozu za každý další 1 km</t>
  </si>
  <si>
    <t>Nakládání nebo překládání vybourané suti</t>
  </si>
  <si>
    <t>Poplatek za skládku stavební suti</t>
  </si>
  <si>
    <t>Poplatek za skládku suti-obal.kam.-asfalt do 30x30</t>
  </si>
  <si>
    <t>Položka je určena pro suť o velikosti kusu do 30x30 cm (technologický materiál určený k recyklaci). .</t>
  </si>
  <si>
    <t>Poplatek za skládku suti - dřevo+sklo</t>
  </si>
  <si>
    <t>Okna, dveře atd.</t>
  </si>
  <si>
    <t>Doba výstavby:</t>
  </si>
  <si>
    <t>Začátek výstavby:</t>
  </si>
  <si>
    <t>Konec výstavby:</t>
  </si>
  <si>
    <t>Zpracováno dne:</t>
  </si>
  <si>
    <t>M.j.</t>
  </si>
  <si>
    <t>m2</t>
  </si>
  <si>
    <t>m3</t>
  </si>
  <si>
    <t>t</t>
  </si>
  <si>
    <t>m</t>
  </si>
  <si>
    <t>kg</t>
  </si>
  <si>
    <t>ks</t>
  </si>
  <si>
    <t>kus</t>
  </si>
  <si>
    <t>soubor</t>
  </si>
  <si>
    <t>kpl</t>
  </si>
  <si>
    <t>Množství</t>
  </si>
  <si>
    <t> </t>
  </si>
  <si>
    <t>15.07.2019</t>
  </si>
  <si>
    <t>Jednot.</t>
  </si>
  <si>
    <t>cena (Kč)</t>
  </si>
  <si>
    <t>Objednatel:</t>
  </si>
  <si>
    <t>Projektant:</t>
  </si>
  <si>
    <t>Zhotovitel:</t>
  </si>
  <si>
    <t>Zpracoval:</t>
  </si>
  <si>
    <t>Náklady (Kč)</t>
  </si>
  <si>
    <t>Dodávka</t>
  </si>
  <si>
    <t>Celkem:</t>
  </si>
  <si>
    <t xml:space="preserve"> A77 architektonický ateliér Brno, s.r.o.</t>
  </si>
  <si>
    <t>Ing. Václav Holub</t>
  </si>
  <si>
    <t>Montáž</t>
  </si>
  <si>
    <t>Celkem</t>
  </si>
  <si>
    <t>%</t>
  </si>
  <si>
    <t>Hmotnost (t)</t>
  </si>
  <si>
    <t>Cenová</t>
  </si>
  <si>
    <t>soustava</t>
  </si>
  <si>
    <t>RTS II / 2018</t>
  </si>
  <si>
    <t xml:space="preserve"> II / 2018</t>
  </si>
  <si>
    <t>II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</si>
  <si>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</si>
  <si>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</si>
  <si>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</si>
  <si>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</si>
  <si>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</si>
  <si>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</si>
  <si>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</si>
  <si>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</si>
  <si>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</si>
  <si>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11_</t>
  </si>
  <si>
    <t>13_</t>
  </si>
  <si>
    <t>17_</t>
  </si>
  <si>
    <t>27_</t>
  </si>
  <si>
    <t>31_</t>
  </si>
  <si>
    <t>34_</t>
  </si>
  <si>
    <t>38_</t>
  </si>
  <si>
    <t>41_</t>
  </si>
  <si>
    <t>44_</t>
  </si>
  <si>
    <t>57_</t>
  </si>
  <si>
    <t>59_</t>
  </si>
  <si>
    <t>61_</t>
  </si>
  <si>
    <t>63_</t>
  </si>
  <si>
    <t>64_</t>
  </si>
  <si>
    <t>711_</t>
  </si>
  <si>
    <t>713_</t>
  </si>
  <si>
    <t>714_</t>
  </si>
  <si>
    <t>721_</t>
  </si>
  <si>
    <t>722_</t>
  </si>
  <si>
    <t>725_</t>
  </si>
  <si>
    <t>762_</t>
  </si>
  <si>
    <t>764_</t>
  </si>
  <si>
    <t>766_</t>
  </si>
  <si>
    <t>767_</t>
  </si>
  <si>
    <t>771_</t>
  </si>
  <si>
    <t>776_</t>
  </si>
  <si>
    <t>777_</t>
  </si>
  <si>
    <t>784_</t>
  </si>
  <si>
    <t>83_</t>
  </si>
  <si>
    <t>95_</t>
  </si>
  <si>
    <t>96_</t>
  </si>
  <si>
    <t>98_</t>
  </si>
  <si>
    <t>H02_</t>
  </si>
  <si>
    <t>M21_</t>
  </si>
  <si>
    <t>M43_</t>
  </si>
  <si>
    <t>S_</t>
  </si>
  <si>
    <t>1_</t>
  </si>
  <si>
    <t>2_</t>
  </si>
  <si>
    <t>3_</t>
  </si>
  <si>
    <t>4_</t>
  </si>
  <si>
    <t>5_</t>
  </si>
  <si>
    <t>6_</t>
  </si>
  <si>
    <t>71_</t>
  </si>
  <si>
    <t>72_</t>
  </si>
  <si>
    <t>76_</t>
  </si>
  <si>
    <t>77_</t>
  </si>
  <si>
    <t>78_</t>
  </si>
  <si>
    <t>8_</t>
  </si>
  <si>
    <t>9_</t>
  </si>
  <si>
    <t>_</t>
  </si>
  <si>
    <t>MAT</t>
  </si>
  <si>
    <t>WORK</t>
  </si>
  <si>
    <t>CELK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</si>
  <si>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</si>
  <si>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</si>
  <si>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</si>
  <si>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</si>
  <si>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</si>
  <si>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</si>
  <si>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</si>
  <si>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Výkaz výměr</t>
  </si>
  <si>
    <t>Položka je určena pro osazování zárubní nebo rámů dveřních ocelových lisovaných i z úhelníků bez dveřních křídel na jakoukoliv cementovou maltu s vybetonováním prahu v zárubni a s osazením špalíků nebo latí pro dřevěný práh. Položka je určena také pro osazování zárubní a rámů do stěn z prefa dílců, které se provádí současně nebo bezprostředně po osazení stěnových dílců; podobně je určena pro konstrukce zděné nad 150 mm tloušťky, kde se osazování provádí převážně až po jejich vyzdění. Položka kryje vybetonování nadvýšeného prahu u balkónových dveří. Položka je určena i pro osazení ocelových rámů na maltu určených pro zasklívání sklem profilovaným (Copillit apod.). V položce jsou zakalkulovány náklady na kotvení rámů do zdiva a platí pro jakýkoliv způsob provádění (např. bodovým přivařením k výztuži, uklínováním,</t>
  </si>
  <si>
    <t>zalitím pracen apod.). V položce jsou zakalkulovány i náklady na dodávku zárubní. Volba položky se řídí plochou otvoru.</t>
  </si>
  <si>
    <t>5,7*5,0   původní asfaltová plocha</t>
  </si>
  <si>
    <t>0,6*1,4*1,4*3*1,7+0,8*(0,7*2,0*3+0,7*2,5*1+2,22*1,0*1+0,7*1,4*1+1,0*1,0*1+3,0*0,7*1+2,0*0,7*1)*1,7   P1,P2,P3,P4,P5</t>
  </si>
  <si>
    <t>0,55*5,7*5,0   pod asfaltovou plochou, v legendě označ. J</t>
  </si>
  <si>
    <t>30,1   zásyp stávajících šachet v 1.p.</t>
  </si>
  <si>
    <t>0,6*1,4*1,4*3*0,7+0,8*(0,7*2,0*3+0,7*2,5*1+2,22*1,0*1+0,7*1,4*1+1,0*1,0*1+3,0*0,7*1+2,0*0,7*1)*0,7   P1,P2,P3,P4,P5</t>
  </si>
  <si>
    <t>0,1*1,4*1,4*3+0,1*(0,7*2,0*3+0,7*2,5*1+2,22*1,0*1+0,7*1,4*1+1,0*1,0*1+3,0*0,7*1+2,0*0,7*1)   P1,P2,P3,P4,P5</t>
  </si>
  <si>
    <t>0,6*1,4*1,4*3+0,8*(0,7*2,0*3+0,7*2,5*1+2,22*1,0*1+0,7*1,4*1+1,0*1,0*1+3,0*0,7*1+2,0*0,7*1)   P1,P2,P3,P4,P5</t>
  </si>
  <si>
    <t>0,6*1,4*4*3+0,8*((0,7+2,0)*2*3+(0,7+2,5)*4*1+(2,22+1,0)*2*1)   P1,P2,P3,P4,P5</t>
  </si>
  <si>
    <t>0,8*((0,7+1,4)*2*1+1,0*4*1+(3,0+0,7)*2*1+(2,0+0,7)*2*1)</t>
  </si>
  <si>
    <t>55,232</t>
  </si>
  <si>
    <t>14,448*90*0,001   P1,P2,P3,P4,P5   dle výjresu 90 kg/m3 x převod na tuny</t>
  </si>
  <si>
    <t>0,5*(18,5-4,0+6,0+11,6)   kolem obvod. zdí a u stáv. v míst. 03, výška 0,5 m</t>
  </si>
  <si>
    <t xml:space="preserve">   1,21 kg/m</t>
  </si>
  <si>
    <t>0,00121*(18,5-4,0+6,0+11,6)*4   kolem obvod. zdí a u stáv. v míst. 03, výška 0,5 m  vodorovné spáry</t>
  </si>
  <si>
    <t>7,0*1,2*0,3   v délce 7m na výšku 1200mm, tl 300mm</t>
  </si>
  <si>
    <t>0,3*(1,05*2,02+1,9*2,02)   1.p.</t>
  </si>
  <si>
    <t>0,27*4,4*3,63   1.p.MEZIPATRO</t>
  </si>
  <si>
    <t>2*(2,7+2,4)   po výšce 2,7m (1.p) a 2,4 m (2.p)</t>
  </si>
  <si>
    <t>6,3*2,7+6,3*5,5   zeď vlevo pouze v 1.p + zed napravo v 1+2. p.</t>
  </si>
  <si>
    <t>40,2*2*0,001   1. NP  legenda překladů</t>
  </si>
  <si>
    <t>40,2*3*0,001   1. NP MEZIPATRO  legenda překladů</t>
  </si>
  <si>
    <t>147,2*0,001   1. NP  legenda překladů</t>
  </si>
  <si>
    <t>135,2*0,001   2. NP  legenda překladů</t>
  </si>
  <si>
    <t>(6,3*2+18,5)*6,0-3,0*5,0   3 obvodové stěny</t>
  </si>
  <si>
    <t>171,6</t>
  </si>
  <si>
    <t>;ztratné 2%; 3,432</t>
  </si>
  <si>
    <t>6,3*2,4   příčka MEZIPATRO</t>
  </si>
  <si>
    <t>2*1,5*2+2*3,81   1. NP  legenda překladů</t>
  </si>
  <si>
    <t>2*1,5*3   1. NP MEZIPATRO  legenda překladů</t>
  </si>
  <si>
    <t>2*3,5   2.NP</t>
  </si>
  <si>
    <t>15486,45   HLAVNÍ NOSNÁ KONSTRUKCE</t>
  </si>
  <si>
    <t>1935,5   POMOCNÉ KONSTRUKCE</t>
  </si>
  <si>
    <t>3484,4   20% SPOJOVACÍ PLECHY, VÝZTUHY A SPOJOVACÍ</t>
  </si>
  <si>
    <t>9446,4   VESTAVBA - PLOŠINA +6,360</t>
  </si>
  <si>
    <t>1667,34   VESTAVBA - PLOŠINA +3,270</t>
  </si>
  <si>
    <t>3637,32   VESTAVBA - SVISLÉ KONSTRUKCE</t>
  </si>
  <si>
    <t>2950,2   20% SPOJOVACÍ PLECHY, VÝZTUHY A SPOJOVACÍ</t>
  </si>
  <si>
    <t>1,25*(18,7+18,6)   velíny v mezipatře 06,07  skladba S/06, součinitel na překrytí plechů</t>
  </si>
  <si>
    <t>18,7+18,6   velíny v mezipatře 06,07  skladba S/06</t>
  </si>
  <si>
    <t>0,115*(18,7+18,6)   velíny v mezipatře 06,07  skladba S/06</t>
  </si>
  <si>
    <t>(18,7+18,6)*0,00198*1,15   velíny v mezipatře 06,07  skladba S/06</t>
  </si>
  <si>
    <t>0,6   vytvoreni kapes pro ulozeni ocelových nosníku v noisnem zdivu tl 300mm 600*600*300 s uložením na oce</t>
  </si>
  <si>
    <t>18,5*6,4</t>
  </si>
  <si>
    <t>118,4</t>
  </si>
  <si>
    <t>;ztratné 2%; 2,368</t>
  </si>
  <si>
    <t>5,7*5,0   nová asfaltová plocha, skladba S/08</t>
  </si>
  <si>
    <t>3*5,7*5,0   nová asfaltová plocha, skladba S/08</t>
  </si>
  <si>
    <t>35   Z/03</t>
  </si>
  <si>
    <t>2*(6,3*2,7+6,3*5,5)   zeď vlevo pouze v 1.p + zed napravo v 1+2. p.</t>
  </si>
  <si>
    <t xml:space="preserve">   zazdívky:</t>
  </si>
  <si>
    <t>(1,05*2,02+1,9*2,02)   1.p.</t>
  </si>
  <si>
    <t>4,4*3,63   1.p.MEZIPATRO</t>
  </si>
  <si>
    <t>37,3   stropy ve velínech 06,07</t>
  </si>
  <si>
    <t>18,7+18,6   pod stropy velíny v mezipatře 06,07  skladba S/06</t>
  </si>
  <si>
    <t>350</t>
  </si>
  <si>
    <t>0,25*(22,3*2,9+28,0-9,0+13,5)   1.NP část 01,02,03 pož. nádrž - skladba S/01</t>
  </si>
  <si>
    <t>22,3*2,9+140-49,5   1.NP část 01 skladba S/01 a S/03 š. 1,0 m kolem zkuš. komor (pdečet)</t>
  </si>
  <si>
    <t>6,0*8,0+20,0   1.NP část 03  skladba S/02 + nádrž na vodu</t>
  </si>
  <si>
    <t>20,0   1.NP 04, skladba S/05</t>
  </si>
  <si>
    <t>2   T/02</t>
  </si>
  <si>
    <t>2   T/01</t>
  </si>
  <si>
    <t>1   T/03</t>
  </si>
  <si>
    <t>12+21+8,5+24   skladba S04</t>
  </si>
  <si>
    <t>9,0*2,0   Hydroizolace spodní stavby asfaltovou izolaci v delce 9m na výšku 2000mm s penetrací podkladu</t>
  </si>
  <si>
    <t>9,0*2,0   ochrana hydroizolace</t>
  </si>
  <si>
    <t>;ztratné 2%; 0,36</t>
  </si>
  <si>
    <t>;ztratné 5%; 1,865</t>
  </si>
  <si>
    <t>28,3*2,2</t>
  </si>
  <si>
    <t>;ztratné 2%; 1,2452</t>
  </si>
  <si>
    <t>2+2   T/01+T/02</t>
  </si>
  <si>
    <t>1,0+1,0   k umyvadlům U1</t>
  </si>
  <si>
    <t>0,5+1,0   k umyvadlům U2</t>
  </si>
  <si>
    <t>1,0+1,0   k umyvadlům U2</t>
  </si>
  <si>
    <t>3,5*10   S2,S5 až S13</t>
  </si>
  <si>
    <t>2,0*10+18   S2,S5 až S13</t>
  </si>
  <si>
    <t>5+5</t>
  </si>
  <si>
    <t>2+2   U1+U2</t>
  </si>
  <si>
    <t>2   ke střešním svodům přístavku</t>
  </si>
  <si>
    <t>4+35   svislé potrubí</t>
  </si>
  <si>
    <t>3,5+7+38+10+12   ležaté potrubí</t>
  </si>
  <si>
    <t>2*3,0*2+3,0*2   k umyvadlům U2, svislé a vodorovné</t>
  </si>
  <si>
    <t>3,0*2+3,0   k umyvadlům U2, svislé a vodorovné</t>
  </si>
  <si>
    <t>1,0   k umyvadlům U1</t>
  </si>
  <si>
    <t>1+1   k umyvadlům U1</t>
  </si>
  <si>
    <t>1+1   k umyvadlům U2</t>
  </si>
  <si>
    <t>1   viz Půdorysy - požární schéma</t>
  </si>
  <si>
    <t>2+2   k umyvadlům U1</t>
  </si>
  <si>
    <t>2+2   k umyvadlům U2</t>
  </si>
  <si>
    <t>2   legenda bouracích prací K</t>
  </si>
  <si>
    <t>42   nad zkuš. komorami</t>
  </si>
  <si>
    <t>18,5   přístavek, viz detaily - 04 podokapní žlab</t>
  </si>
  <si>
    <t>2*6,0   přístavek, viz detaily - 04 podokapní žlab</t>
  </si>
  <si>
    <t>2,2*0,6*1+2,0*1,0*2+1,2*1,0*1+3,0*1,0*2+4,4*0,6*3   PL01-PL05</t>
  </si>
  <si>
    <t>(53,9+74,7)*21,5   1.NP mezipatro</t>
  </si>
  <si>
    <t>118,5*21,5   2.NP</t>
  </si>
  <si>
    <t>(53,9+74,7)   1.NP mezipatro</t>
  </si>
  <si>
    <t>118,5   2.NP</t>
  </si>
  <si>
    <t>;ztratné 5%; 12,355</t>
  </si>
  <si>
    <t>1   Z/04</t>
  </si>
  <si>
    <t>19,0   Z/06</t>
  </si>
  <si>
    <t>8,0   Z/14</t>
  </si>
  <si>
    <t>;ztratné 10%; 2,7</t>
  </si>
  <si>
    <t>6,0*0,63   Z/06</t>
  </si>
  <si>
    <t>48,0*0,63   Z/15</t>
  </si>
  <si>
    <t>1   PL/06   viz výpis výrobků PSV</t>
  </si>
  <si>
    <t>7,2</t>
  </si>
  <si>
    <t>1   Z/12  viz výpis várobků PSV</t>
  </si>
  <si>
    <t>1   viz výpis prvků</t>
  </si>
  <si>
    <t>430   Z/09</t>
  </si>
  <si>
    <t>250   Z/10</t>
  </si>
  <si>
    <t>500   Z/11</t>
  </si>
  <si>
    <t>82,8*22,24   Z/02</t>
  </si>
  <si>
    <t>312,9</t>
  </si>
  <si>
    <t>0,298</t>
  </si>
  <si>
    <t>;ztratné 5%; 0,0149</t>
  </si>
  <si>
    <t>7,0*25,0   stávající žebřík , bourací práce legenda O</t>
  </si>
  <si>
    <t>19,95   1. NP chodba - skladba S/05</t>
  </si>
  <si>
    <t>19,95</t>
  </si>
  <si>
    <t>;ztratné 2%; 0,399</t>
  </si>
  <si>
    <t>0,2*(18,7+18,6)   velíny v mezipatře 06,07  skladba S/06, spotřeba 0,2 kg/m2</t>
  </si>
  <si>
    <t>;ztratné 5%; 0,373</t>
  </si>
  <si>
    <t>6,0*8,0   1.NP část 03  skladba S/02</t>
  </si>
  <si>
    <t>30,0   překlady</t>
  </si>
  <si>
    <t>9,0</t>
  </si>
  <si>
    <t>205/2+20   plocha vestavby - 50%</t>
  </si>
  <si>
    <t>123   plocha přístavby</t>
  </si>
  <si>
    <t>3   viz Půdorysy - požární schéma</t>
  </si>
  <si>
    <t>6,0*(6,2*4+18,1)-60   stávající část přístavku, odečet otvorů  legenda A+ I</t>
  </si>
  <si>
    <t>2,65*2,6+3,0*2,2   Pohled od JZ_bourací práce</t>
  </si>
  <si>
    <t>60   Pohled od JZ_bourací práce  legenda B</t>
  </si>
  <si>
    <t>18,1*6,5   atávající konstrukce střechy přístavku, legenda F</t>
  </si>
  <si>
    <t>0,3*(3,21*2,6+2*1,0*2,02)   1.NP.  legenda D</t>
  </si>
  <si>
    <t>0,3*(2*0,9*2,02+1,0*2,02)   1.NP -.MEZIPATRO</t>
  </si>
  <si>
    <t>0,1*(1,1*1,9+1,3*1,9)+0,35*1,0*1,9   sokly v přístavku, legenda G</t>
  </si>
  <si>
    <t>1,1*2,27*12,0-2*3,14*0,125*0,125*12,0   zdivo - odečet dvou průduchů prům. 250 mm, legenda E</t>
  </si>
  <si>
    <t>3,6</t>
  </si>
  <si>
    <t>;ztratné 15%; 0,54</t>
  </si>
  <si>
    <t>87,75*13</t>
  </si>
  <si>
    <t>Cenová soustava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</si>
  <si>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</si>
  <si>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</si>
  <si>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</si>
  <si>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</si>
  <si>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</si>
  <si>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</si>
  <si>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</si>
  <si>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</si>
  <si>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</si>
  <si>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</si>
  <si>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</si>
  <si>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</si>
  <si>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</si>
  <si>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</si>
  <si>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</si>
  <si>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</si>
  <si>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</si>
  <si>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</si>
  <si>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</si>
  <si>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</si>
  <si>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</si>
  <si>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</si>
  <si>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</si>
  <si>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</si>
  <si>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</si>
  <si>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</si>
  <si>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</si>
  <si>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</si>
  <si>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</si>
  <si>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</si>
  <si>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</si>
  <si>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</si>
  <si>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</si>
  <si>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</si>
  <si>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</si>
  <si>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</si>
  <si>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</si>
  <si>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</si>
  <si>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</si>
  <si>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</si>
  <si>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</si>
  <si>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</si>
  <si>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</si>
  <si>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</si>
  <si>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00001490/CZ00001490</t>
  </si>
  <si>
    <t>06242308/CZ06242308</t>
  </si>
  <si>
    <t>Vedlejší rozpočtové náklady VRN</t>
  </si>
  <si>
    <t>Doplňkové náklady DN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</si>
  <si>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</si>
  <si>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</si>
  <si>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</si>
  <si>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</si>
  <si>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</si>
  <si>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</si>
  <si>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Vedlejší a ostatní rozpočtové náklady</t>
  </si>
  <si>
    <t>Kč</t>
  </si>
  <si>
    <t>Základna</t>
  </si>
  <si>
    <t>Strojírenský zkušební ústav, s.p. zastoupená ředitelem Ing. Tomášem Hruškou</t>
  </si>
  <si>
    <t>Vyplňovat pouze modrá políčka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</si>
</sst>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18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58"/>
      <name val="Arial"/>
      <charset val="238"/>
    </font>
    <font>
      <sz val="10"/>
      <color indexed="59"/>
      <name val="Arial"/>
      <charset val="238"/>
    </font>
    <font>
      <i/>
      <sz val="9"/>
      <color indexed="58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b/>
      <sz val="16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right" vertical="top"/>
    </xf>
    <xf numFmtId="49" fontId="9" fillId="0" borderId="1" xfId="0" applyNumberFormat="1" applyFont="1" applyFill="1" applyBorder="1" applyAlignment="1" applyProtection="1">
      <alignment horizontal="right" vertical="top"/>
    </xf>
    <xf numFmtId="49" fontId="3" fillId="0" borderId="11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1" fillId="0" borderId="13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4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6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9" fontId="8" fillId="2" borderId="7" xfId="0" applyNumberFormat="1" applyFont="1" applyFill="1" applyBorder="1" applyAlignment="1" applyProtection="1">
      <alignment horizontal="center"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9" fontId="8" fillId="2" borderId="0" xfId="0" applyNumberFormat="1" applyFont="1" applyFill="1" applyBorder="1" applyAlignment="1" applyProtection="1">
      <alignment horizontal="center" vertical="center"/>
    </xf>
    <xf numFmtId="9" fontId="6" fillId="0" borderId="0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3" fillId="0" borderId="28" xfId="0" applyNumberFormat="1" applyFont="1" applyFill="1" applyBorder="1" applyAlignment="1" applyProtection="1">
      <alignment horizontal="left" vertical="center"/>
    </xf>
    <xf numFmtId="49" fontId="3" fillId="0" borderId="29" xfId="0" applyNumberFormat="1" applyFont="1" applyFill="1" applyBorder="1" applyAlignment="1" applyProtection="1">
      <alignment horizontal="left" vertical="center"/>
    </xf>
    <xf numFmtId="49" fontId="3" fillId="0" borderId="2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5" fillId="0" borderId="7" xfId="0" applyNumberFormat="1" applyFont="1" applyFill="1" applyBorder="1" applyAlignment="1" applyProtection="1">
      <alignment horizontal="left" vertical="center"/>
    </xf>
    <xf numFmtId="49" fontId="11" fillId="0" borderId="0" xfId="0" applyNumberFormat="1" applyFont="1" applyFill="1" applyBorder="1" applyAlignment="1" applyProtection="1">
      <alignment horizontal="right" vertical="top"/>
    </xf>
    <xf numFmtId="49" fontId="3" fillId="0" borderId="29" xfId="0" applyNumberFormat="1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right" vertical="center"/>
    </xf>
    <xf numFmtId="49" fontId="5" fillId="0" borderId="7" xfId="0" applyNumberFormat="1" applyFont="1" applyFill="1" applyBorder="1" applyAlignment="1" applyProtection="1">
      <alignment horizontal="right" vertical="center"/>
    </xf>
    <xf numFmtId="49" fontId="13" fillId="3" borderId="32" xfId="0" applyNumberFormat="1" applyFont="1" applyFill="1" applyBorder="1" applyAlignment="1" applyProtection="1">
      <alignment horizontal="center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" fillId="0" borderId="36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5" fillId="0" borderId="32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1" fillId="0" borderId="30" xfId="0" applyNumberFormat="1" applyFont="1" applyFill="1" applyBorder="1" applyAlignment="1" applyProtection="1">
      <alignment vertical="center"/>
    </xf>
    <xf numFmtId="4" fontId="15" fillId="0" borderId="32" xfId="0" applyNumberFormat="1" applyFont="1" applyFill="1" applyBorder="1" applyAlignment="1" applyProtection="1">
      <alignment horizontal="right" vertical="center"/>
    </xf>
    <xf numFmtId="49" fontId="15" fillId="0" borderId="32" xfId="0" applyNumberFormat="1" applyFont="1" applyFill="1" applyBorder="1" applyAlignment="1" applyProtection="1">
      <alignment horizontal="right" vertical="center"/>
    </xf>
    <xf numFmtId="4" fontId="15" fillId="0" borderId="17" xfId="0" applyNumberFormat="1" applyFont="1" applyFill="1" applyBorder="1" applyAlignment="1" applyProtection="1">
      <alignment horizontal="right" vertical="center"/>
    </xf>
    <xf numFmtId="0" fontId="1" fillId="0" borderId="43" xfId="0" applyNumberFormat="1" applyFont="1" applyFill="1" applyBorder="1" applyAlignment="1" applyProtection="1">
      <alignment vertical="center"/>
    </xf>
    <xf numFmtId="0" fontId="1" fillId="0" borderId="22" xfId="0" applyNumberFormat="1" applyFont="1" applyFill="1" applyBorder="1" applyAlignment="1" applyProtection="1">
      <alignment vertical="center"/>
    </xf>
    <xf numFmtId="4" fontId="14" fillId="3" borderId="39" xfId="0" applyNumberFormat="1" applyFont="1" applyFill="1" applyBorder="1" applyAlignment="1" applyProtection="1">
      <alignment horizontal="right" vertical="center"/>
    </xf>
    <xf numFmtId="0" fontId="1" fillId="0" borderId="47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3" fillId="0" borderId="50" xfId="0" applyNumberFormat="1" applyFont="1" applyFill="1" applyBorder="1" applyAlignment="1" applyProtection="1">
      <alignment horizontal="right" vertical="center"/>
    </xf>
    <xf numFmtId="4" fontId="1" fillId="0" borderId="32" xfId="0" applyNumberFormat="1" applyFont="1" applyFill="1" applyBorder="1" applyAlignment="1" applyProtection="1">
      <alignment horizontal="right" vertical="center"/>
    </xf>
    <xf numFmtId="4" fontId="1" fillId="0" borderId="17" xfId="0" applyNumberFormat="1" applyFont="1" applyFill="1" applyBorder="1" applyAlignment="1" applyProtection="1">
      <alignment horizontal="right" vertical="center"/>
    </xf>
    <xf numFmtId="49" fontId="3" fillId="0" borderId="51" xfId="0" applyNumberFormat="1" applyFont="1" applyFill="1" applyBorder="1" applyAlignment="1" applyProtection="1">
      <alignment horizontal="left" vertical="center"/>
    </xf>
    <xf numFmtId="49" fontId="1" fillId="0" borderId="32" xfId="0" applyNumberFormat="1" applyFont="1" applyFill="1" applyBorder="1" applyAlignment="1" applyProtection="1">
      <alignment horizontal="left" vertical="center"/>
    </xf>
    <xf numFmtId="49" fontId="1" fillId="0" borderId="17" xfId="0" applyNumberFormat="1" applyFont="1" applyFill="1" applyBorder="1" applyAlignment="1" applyProtection="1">
      <alignment horizontal="left" vertical="center"/>
    </xf>
    <xf numFmtId="49" fontId="3" fillId="0" borderId="51" xfId="0" applyNumberFormat="1" applyFont="1" applyFill="1" applyBorder="1" applyAlignment="1" applyProtection="1">
      <alignment horizontal="right" vertical="center"/>
    </xf>
    <xf numFmtId="4" fontId="3" fillId="0" borderId="5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" fontId="1" fillId="4" borderId="32" xfId="0" applyNumberFormat="1" applyFont="1" applyFill="1" applyBorder="1" applyAlignment="1" applyProtection="1">
      <alignment horizontal="right" vertical="center"/>
    </xf>
    <xf numFmtId="49" fontId="3" fillId="4" borderId="12" xfId="0" applyNumberFormat="1" applyFont="1" applyFill="1" applyBorder="1" applyAlignment="1" applyProtection="1">
      <alignment horizontal="center" vertical="center"/>
    </xf>
    <xf numFmtId="49" fontId="3" fillId="4" borderId="13" xfId="0" applyNumberFormat="1" applyFont="1" applyFill="1" applyBorder="1" applyAlignment="1" applyProtection="1">
      <alignment horizontal="center" vertical="center"/>
    </xf>
    <xf numFmtId="49" fontId="4" fillId="5" borderId="7" xfId="0" applyNumberFormat="1" applyFont="1" applyFill="1" applyBorder="1" applyAlignment="1" applyProtection="1">
      <alignment horizontal="left" vertical="center"/>
    </xf>
    <xf numFmtId="4" fontId="5" fillId="4" borderId="0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>
      <alignment vertical="center"/>
    </xf>
    <xf numFmtId="49" fontId="4" fillId="5" borderId="0" xfId="0" applyNumberFormat="1" applyFont="1" applyFill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horizontal="right" vertical="center"/>
    </xf>
    <xf numFmtId="0" fontId="1" fillId="4" borderId="8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Border="1" applyAlignment="1" applyProtection="1">
      <alignment horizontal="left" vertical="center"/>
    </xf>
    <xf numFmtId="49" fontId="15" fillId="0" borderId="26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41" xfId="0" applyNumberFormat="1" applyFont="1" applyFill="1" applyBorder="1" applyAlignment="1" applyProtection="1">
      <alignment horizontal="left" vertical="center"/>
    </xf>
    <xf numFmtId="49" fontId="15" fillId="0" borderId="38" xfId="0" applyNumberFormat="1" applyFont="1" applyFill="1" applyBorder="1" applyAlignment="1" applyProtection="1">
      <alignment horizontal="left" vertical="center"/>
    </xf>
    <xf numFmtId="0" fontId="15" fillId="0" borderId="9" xfId="0" applyNumberFormat="1" applyFont="1" applyFill="1" applyBorder="1" applyAlignment="1" applyProtection="1">
      <alignment horizontal="left" vertical="center"/>
    </xf>
    <xf numFmtId="0" fontId="15" fillId="0" borderId="42" xfId="0" applyNumberFormat="1" applyFont="1" applyFill="1" applyBorder="1" applyAlignment="1" applyProtection="1">
      <alignment horizontal="left" vertical="center"/>
    </xf>
    <xf numFmtId="49" fontId="14" fillId="3" borderId="35" xfId="0" applyNumberFormat="1" applyFont="1" applyFill="1" applyBorder="1" applyAlignment="1" applyProtection="1">
      <alignment horizontal="left" vertical="center"/>
    </xf>
    <xf numFmtId="0" fontId="14" fillId="3" borderId="31" xfId="0" applyNumberFormat="1" applyFont="1" applyFill="1" applyBorder="1" applyAlignment="1" applyProtection="1">
      <alignment horizontal="left" vertical="center"/>
    </xf>
    <xf numFmtId="49" fontId="15" fillId="0" borderId="37" xfId="0" applyNumberFormat="1" applyFont="1" applyFill="1" applyBorder="1" applyAlignment="1" applyProtection="1">
      <alignment horizontal="left" vertical="center"/>
    </xf>
    <xf numFmtId="0" fontId="15" fillId="0" borderId="7" xfId="0" applyNumberFormat="1" applyFont="1" applyFill="1" applyBorder="1" applyAlignment="1" applyProtection="1">
      <alignment horizontal="left" vertical="center"/>
    </xf>
    <xf numFmtId="0" fontId="15" fillId="0" borderId="40" xfId="0" applyNumberFormat="1" applyFont="1" applyFill="1" applyBorder="1" applyAlignment="1" applyProtection="1">
      <alignment horizontal="left" vertical="center"/>
    </xf>
    <xf numFmtId="49" fontId="14" fillId="0" borderId="35" xfId="0" applyNumberFormat="1" applyFont="1" applyFill="1" applyBorder="1" applyAlignment="1" applyProtection="1">
      <alignment horizontal="left" vertical="center"/>
    </xf>
    <xf numFmtId="0" fontId="14" fillId="0" borderId="39" xfId="0" applyNumberFormat="1" applyFont="1" applyFill="1" applyBorder="1" applyAlignment="1" applyProtection="1">
      <alignment horizontal="left" vertical="center"/>
    </xf>
    <xf numFmtId="49" fontId="15" fillId="0" borderId="35" xfId="0" applyNumberFormat="1" applyFont="1" applyFill="1" applyBorder="1" applyAlignment="1" applyProtection="1">
      <alignment horizontal="left" vertical="center"/>
    </xf>
    <xf numFmtId="0" fontId="15" fillId="0" borderId="39" xfId="0" applyNumberFormat="1" applyFont="1" applyFill="1" applyBorder="1" applyAlignment="1" applyProtection="1">
      <alignment horizontal="left" vertical="center"/>
    </xf>
    <xf numFmtId="49" fontId="12" fillId="0" borderId="31" xfId="0" applyNumberFormat="1" applyFont="1" applyFill="1" applyBorder="1" applyAlignment="1" applyProtection="1">
      <alignment horizontal="center" vertical="center"/>
    </xf>
    <xf numFmtId="0" fontId="12" fillId="0" borderId="31" xfId="0" applyNumberFormat="1" applyFont="1" applyFill="1" applyBorder="1" applyAlignment="1" applyProtection="1">
      <alignment horizontal="center" vertical="center"/>
    </xf>
    <xf numFmtId="49" fontId="16" fillId="0" borderId="35" xfId="0" applyNumberFormat="1" applyFont="1" applyFill="1" applyBorder="1" applyAlignment="1" applyProtection="1">
      <alignment horizontal="left" vertical="center"/>
    </xf>
    <xf numFmtId="0" fontId="16" fillId="0" borderId="3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3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 wrapText="1"/>
    </xf>
    <xf numFmtId="0" fontId="1" fillId="0" borderId="44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22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49" fontId="1" fillId="4" borderId="22" xfId="0" applyNumberFormat="1" applyFont="1" applyFill="1" applyBorder="1" applyAlignment="1" applyProtection="1">
      <alignment horizontal="left" vertical="center"/>
    </xf>
    <xf numFmtId="0" fontId="1" fillId="4" borderId="22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21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/>
    </xf>
    <xf numFmtId="49" fontId="3" fillId="0" borderId="8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center"/>
    </xf>
    <xf numFmtId="8" fontId="1" fillId="0" borderId="0" xfId="0" applyNumberFormat="1" applyFont="1" applyFill="1" applyBorder="1" applyAlignment="1" applyProtection="1">
      <alignment horizontal="left" vertical="center" wrapText="1"/>
    </xf>
    <xf numFmtId="8" fontId="1" fillId="4" borderId="0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/>
    </xf>
    <xf numFmtId="49" fontId="1" fillId="4" borderId="8" xfId="0" applyNumberFormat="1" applyFont="1" applyFill="1" applyBorder="1" applyAlignment="1" applyProtection="1">
      <alignment horizontal="left" vertical="center"/>
    </xf>
    <xf numFmtId="49" fontId="1" fillId="0" borderId="45" xfId="0" applyNumberFormat="1" applyFont="1" applyFill="1" applyBorder="1" applyAlignment="1" applyProtection="1">
      <alignment horizontal="left" vertical="center"/>
    </xf>
    <xf numFmtId="0" fontId="1" fillId="0" borderId="36" xfId="0" applyNumberFormat="1" applyFont="1" applyFill="1" applyBorder="1" applyAlignment="1" applyProtection="1">
      <alignment horizontal="left" vertical="center"/>
    </xf>
    <xf numFmtId="0" fontId="1" fillId="0" borderId="48" xfId="0" applyNumberFormat="1" applyFont="1" applyFill="1" applyBorder="1" applyAlignment="1" applyProtection="1">
      <alignment horizontal="left" vertical="center"/>
    </xf>
    <xf numFmtId="49" fontId="3" fillId="0" borderId="46" xfId="0" applyNumberFormat="1" applyFont="1" applyFill="1" applyBorder="1" applyAlignment="1" applyProtection="1">
      <alignment horizontal="left" vertical="center"/>
    </xf>
    <xf numFmtId="0" fontId="3" fillId="0" borderId="47" xfId="0" applyNumberFormat="1" applyFont="1" applyFill="1" applyBorder="1" applyAlignment="1" applyProtection="1">
      <alignment horizontal="left" vertical="center"/>
    </xf>
    <xf numFmtId="0" fontId="3" fillId="0" borderId="49" xfId="0" applyNumberFormat="1" applyFont="1" applyFill="1" applyBorder="1" applyAlignment="1" applyProtection="1">
      <alignment horizontal="left" vertical="center"/>
    </xf>
    <xf numFmtId="49" fontId="14" fillId="0" borderId="46" xfId="0" applyNumberFormat="1" applyFont="1" applyFill="1" applyBorder="1" applyAlignment="1" applyProtection="1">
      <alignment horizontal="left" vertical="center"/>
    </xf>
    <xf numFmtId="0" fontId="14" fillId="0" borderId="47" xfId="0" applyNumberFormat="1" applyFont="1" applyFill="1" applyBorder="1" applyAlignment="1" applyProtection="1">
      <alignment horizontal="left" vertical="center"/>
    </xf>
    <xf numFmtId="0" fontId="14" fillId="0" borderId="49" xfId="0" applyNumberFormat="1" applyFont="1" applyFill="1" applyBorder="1" applyAlignment="1" applyProtection="1">
      <alignment horizontal="left" vertical="center"/>
    </xf>
    <xf numFmtId="4" fontId="14" fillId="0" borderId="46" xfId="0" applyNumberFormat="1" applyFont="1" applyFill="1" applyBorder="1" applyAlignment="1" applyProtection="1">
      <alignment horizontal="right" vertical="center"/>
    </xf>
    <xf numFmtId="0" fontId="14" fillId="0" borderId="47" xfId="0" applyNumberFormat="1" applyFont="1" applyFill="1" applyBorder="1" applyAlignment="1" applyProtection="1">
      <alignment horizontal="right" vertical="center"/>
    </xf>
    <xf numFmtId="0" fontId="14" fillId="0" borderId="49" xfId="0" applyNumberFormat="1" applyFont="1" applyFill="1" applyBorder="1" applyAlignment="1" applyProtection="1">
      <alignment horizontal="right" vertical="center"/>
    </xf>
    <xf numFmtId="49" fontId="14" fillId="0" borderId="9" xfId="0" applyNumberFormat="1" applyFont="1" applyFill="1" applyBorder="1" applyAlignment="1" applyProtection="1">
      <alignment horizontal="left" vertical="center"/>
    </xf>
    <xf numFmtId="0" fontId="14" fillId="0" borderId="9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left" vertical="center"/>
    </xf>
    <xf numFmtId="0" fontId="3" fillId="0" borderId="16" xfId="0" applyNumberFormat="1" applyFont="1" applyFill="1" applyBorder="1" applyAlignment="1" applyProtection="1">
      <alignment horizontal="lef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49" fontId="1" fillId="0" borderId="35" xfId="0" applyNumberFormat="1" applyFont="1" applyFill="1" applyBorder="1" applyAlignment="1" applyProtection="1">
      <alignment horizontal="left" vertical="center"/>
    </xf>
    <xf numFmtId="0" fontId="1" fillId="0" borderId="31" xfId="0" applyNumberFormat="1" applyFont="1" applyFill="1" applyBorder="1" applyAlignment="1" applyProtection="1">
      <alignment horizontal="left" vertical="center"/>
    </xf>
    <xf numFmtId="0" fontId="1" fillId="0" borderId="39" xfId="0" applyNumberFormat="1" applyFont="1" applyFill="1" applyBorder="1" applyAlignment="1" applyProtection="1">
      <alignment horizontal="left" vertical="center"/>
    </xf>
    <xf numFmtId="0" fontId="1" fillId="6" borderId="0" xfId="0" applyNumberFormat="1" applyFont="1" applyFill="1" applyBorder="1" applyAlignment="1" applyProtection="1">
      <alignment horizontal="left" vertical="center" wrapText="1"/>
    </xf>
    <xf numFmtId="0" fontId="1" fillId="6" borderId="0" xfId="0" applyNumberFormat="1" applyFont="1" applyFill="1" applyBorder="1" applyAlignment="1" applyProtection="1">
      <alignment horizontal="left" vertical="center"/>
    </xf>
    <xf numFmtId="0" fontId="1" fillId="7" borderId="0" xfId="0" applyNumberFormat="1" applyFont="1" applyFill="1" applyBorder="1" applyAlignment="1" applyProtection="1">
      <alignment horizontal="left" vertical="center" wrapText="1"/>
    </xf>
    <xf numFmtId="0" fontId="1" fillId="7" borderId="0" xfId="0" applyNumberFormat="1" applyFont="1" applyFill="1" applyBorder="1" applyAlignment="1" applyProtection="1">
      <alignment horizontal="left" vertical="center"/>
    </xf>
    <xf numFmtId="0" fontId="1" fillId="7" borderId="0" xfId="0" applyFont="1" applyFill="1" applyAlignment="1">
      <alignment vertical="center"/>
    </xf>
    <xf numFmtId="0" fontId="17" fillId="7" borderId="0" xfId="0" applyFont="1" applyFill="1" applyAlignment="1">
      <alignment vertical="center"/>
    </xf>
    <xf numFmtId="49" fontId="1" fillId="6" borderId="0" xfId="0" applyNumberFormat="1" applyFont="1" applyFill="1" applyBorder="1" applyAlignment="1" applyProtection="1">
      <alignment horizontal="left" vertical="center"/>
    </xf>
    <xf numFmtId="0" fontId="1" fillId="6" borderId="9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" fillId="6" borderId="41" xfId="0" applyNumberFormat="1" applyFont="1" applyFill="1" applyBorder="1" applyAlignment="1" applyProtection="1">
      <alignment horizontal="left" vertical="center"/>
    </xf>
    <xf numFmtId="0" fontId="1" fillId="6" borderId="42" xfId="0" applyNumberFormat="1" applyFont="1" applyFill="1" applyBorder="1" applyAlignment="1" applyProtection="1">
      <alignment horizontal="left" vertical="center"/>
    </xf>
    <xf numFmtId="0" fontId="1" fillId="0" borderId="44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workbookViewId="0">
      <selection activeCell="F10" sqref="F10:G11"/>
    </sheetView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10" ht="72.900000000000006" customHeight="1" x14ac:dyDescent="0.25">
      <c r="A1" s="83"/>
      <c r="B1" s="7"/>
      <c r="C1" s="127" t="s">
        <v>849</v>
      </c>
      <c r="D1" s="128"/>
      <c r="E1" s="128"/>
      <c r="F1" s="128"/>
      <c r="G1" s="128"/>
      <c r="H1" s="128"/>
      <c r="I1" s="128"/>
    </row>
    <row r="2" spans="1:10" x14ac:dyDescent="0.25">
      <c r="A2" s="129" t="s">
        <v>1</v>
      </c>
      <c r="B2" s="130"/>
      <c r="C2" s="131" t="str">
        <f>'Stavební rozpočet'!D2</f>
        <v>Vestavba zkušebních komor, Brno-Medlánky OPRAVA 07/2019</v>
      </c>
      <c r="D2" s="132"/>
      <c r="E2" s="134" t="s">
        <v>605</v>
      </c>
      <c r="F2" s="134" t="str">
        <f>'Stavební rozpočet'!I2</f>
        <v>Strojírenský zkušební ústav, s.p. zastoupená ředitelem Ing. Tomášem Hruškou</v>
      </c>
      <c r="G2" s="130"/>
      <c r="H2" s="134" t="s">
        <v>874</v>
      </c>
      <c r="I2" s="135" t="s">
        <v>878</v>
      </c>
      <c r="J2" s="33"/>
    </row>
    <row r="3" spans="1:10" ht="27.75" customHeight="1" x14ac:dyDescent="0.25">
      <c r="A3" s="122"/>
      <c r="B3" s="115"/>
      <c r="C3" s="133"/>
      <c r="D3" s="133"/>
      <c r="E3" s="115"/>
      <c r="F3" s="115"/>
      <c r="G3" s="115"/>
      <c r="H3" s="115"/>
      <c r="I3" s="124"/>
      <c r="J3" s="33"/>
    </row>
    <row r="4" spans="1:10" x14ac:dyDescent="0.25">
      <c r="A4" s="114" t="s">
        <v>2</v>
      </c>
      <c r="B4" s="115"/>
      <c r="C4" s="118">
        <f>'Stavební rozpočet'!D4</f>
        <v>0</v>
      </c>
      <c r="D4" s="115"/>
      <c r="E4" s="118" t="s">
        <v>606</v>
      </c>
      <c r="F4" s="118" t="str">
        <f>'Stavební rozpočet'!I4</f>
        <v xml:space="preserve"> A77 architektonický ateliér Brno, s.r.o.</v>
      </c>
      <c r="G4" s="115"/>
      <c r="H4" s="118" t="s">
        <v>874</v>
      </c>
      <c r="I4" s="123" t="s">
        <v>879</v>
      </c>
      <c r="J4" s="33"/>
    </row>
    <row r="5" spans="1:10" x14ac:dyDescent="0.25">
      <c r="A5" s="122"/>
      <c r="B5" s="115"/>
      <c r="C5" s="115"/>
      <c r="D5" s="115"/>
      <c r="E5" s="115"/>
      <c r="F5" s="115"/>
      <c r="G5" s="115"/>
      <c r="H5" s="115"/>
      <c r="I5" s="124"/>
      <c r="J5" s="33"/>
    </row>
    <row r="6" spans="1:10" x14ac:dyDescent="0.25">
      <c r="A6" s="114" t="s">
        <v>3</v>
      </c>
      <c r="B6" s="115"/>
      <c r="C6" s="118">
        <f>'Stavební rozpočet'!D6</f>
        <v>0</v>
      </c>
      <c r="D6" s="115"/>
      <c r="E6" s="118" t="s">
        <v>607</v>
      </c>
      <c r="F6" s="118">
        <f>'Stavební rozpočet'!I6</f>
        <v>0</v>
      </c>
      <c r="G6" s="115"/>
      <c r="H6" s="118" t="s">
        <v>874</v>
      </c>
      <c r="I6" s="125"/>
      <c r="J6" s="33"/>
    </row>
    <row r="7" spans="1:10" x14ac:dyDescent="0.25">
      <c r="A7" s="122"/>
      <c r="B7" s="115"/>
      <c r="C7" s="115"/>
      <c r="D7" s="115"/>
      <c r="E7" s="115"/>
      <c r="F7" s="115"/>
      <c r="G7" s="115"/>
      <c r="H7" s="115"/>
      <c r="I7" s="126"/>
      <c r="J7" s="33"/>
    </row>
    <row r="8" spans="1:10" x14ac:dyDescent="0.25">
      <c r="A8" s="114" t="s">
        <v>587</v>
      </c>
      <c r="B8" s="115"/>
      <c r="C8" s="175" t="str">
        <f>'Stavební rozpočet'!G4</f>
        <v> </v>
      </c>
      <c r="D8" s="176"/>
      <c r="E8" s="118" t="s">
        <v>588</v>
      </c>
      <c r="F8" s="175" t="str">
        <f>'Stavební rozpočet'!G6</f>
        <v> </v>
      </c>
      <c r="G8" s="176"/>
      <c r="H8" s="119" t="s">
        <v>875</v>
      </c>
      <c r="I8" s="123" t="s">
        <v>145</v>
      </c>
      <c r="J8" s="33"/>
    </row>
    <row r="9" spans="1:10" x14ac:dyDescent="0.25">
      <c r="A9" s="122"/>
      <c r="B9" s="115"/>
      <c r="C9" s="176"/>
      <c r="D9" s="176"/>
      <c r="E9" s="115"/>
      <c r="F9" s="176"/>
      <c r="G9" s="176"/>
      <c r="H9" s="115"/>
      <c r="I9" s="124"/>
      <c r="J9" s="33"/>
    </row>
    <row r="10" spans="1:10" x14ac:dyDescent="0.25">
      <c r="A10" s="114" t="s">
        <v>4</v>
      </c>
      <c r="B10" s="115"/>
      <c r="C10" s="118">
        <f>'Stavební rozpočet'!D8</f>
        <v>8021974</v>
      </c>
      <c r="D10" s="115"/>
      <c r="E10" s="118" t="s">
        <v>608</v>
      </c>
      <c r="F10" s="118" t="str">
        <f>'Stavební rozpočet'!I8</f>
        <v>Ing. Václav Holub</v>
      </c>
      <c r="G10" s="115"/>
      <c r="H10" s="119" t="s">
        <v>876</v>
      </c>
      <c r="I10" s="120" t="str">
        <f>'Stavební rozpočet'!G8</f>
        <v>15.07.2019</v>
      </c>
      <c r="J10" s="33"/>
    </row>
    <row r="11" spans="1:10" x14ac:dyDescent="0.25">
      <c r="A11" s="116"/>
      <c r="B11" s="117"/>
      <c r="C11" s="117"/>
      <c r="D11" s="117"/>
      <c r="E11" s="117"/>
      <c r="F11" s="117"/>
      <c r="G11" s="117"/>
      <c r="H11" s="117"/>
      <c r="I11" s="121"/>
      <c r="J11" s="33"/>
    </row>
    <row r="12" spans="1:10" ht="23.4" customHeight="1" x14ac:dyDescent="0.25">
      <c r="A12" s="110" t="s">
        <v>834</v>
      </c>
      <c r="B12" s="111"/>
      <c r="C12" s="111"/>
      <c r="D12" s="111"/>
      <c r="E12" s="111"/>
      <c r="F12" s="111"/>
      <c r="G12" s="111"/>
      <c r="H12" s="111"/>
      <c r="I12" s="111"/>
    </row>
    <row r="13" spans="1:10" ht="26.4" customHeight="1" x14ac:dyDescent="0.25">
      <c r="A13" s="58" t="s">
        <v>835</v>
      </c>
      <c r="B13" s="112" t="s">
        <v>847</v>
      </c>
      <c r="C13" s="113"/>
      <c r="D13" s="58" t="s">
        <v>850</v>
      </c>
      <c r="E13" s="112" t="s">
        <v>859</v>
      </c>
      <c r="F13" s="113"/>
      <c r="G13" s="58" t="s">
        <v>860</v>
      </c>
      <c r="H13" s="112" t="s">
        <v>877</v>
      </c>
      <c r="I13" s="113"/>
      <c r="J13" s="33"/>
    </row>
    <row r="14" spans="1:10" ht="15.15" customHeight="1" x14ac:dyDescent="0.25">
      <c r="A14" s="59" t="s">
        <v>836</v>
      </c>
      <c r="B14" s="63" t="s">
        <v>848</v>
      </c>
      <c r="C14" s="67">
        <f>SUM('Stavební rozpočet'!AB12:AB304)</f>
        <v>0</v>
      </c>
      <c r="D14" s="108" t="s">
        <v>851</v>
      </c>
      <c r="E14" s="109"/>
      <c r="F14" s="67">
        <f>VORN!I15</f>
        <v>0</v>
      </c>
      <c r="G14" s="108" t="s">
        <v>861</v>
      </c>
      <c r="H14" s="109"/>
      <c r="I14" s="67">
        <f>VORN!I21</f>
        <v>0</v>
      </c>
      <c r="J14" s="33"/>
    </row>
    <row r="15" spans="1:10" ht="15.15" customHeight="1" x14ac:dyDescent="0.25">
      <c r="A15" s="60"/>
      <c r="B15" s="63" t="s">
        <v>614</v>
      </c>
      <c r="C15" s="67">
        <f>SUM('Stavební rozpočet'!AC12:AC304)</f>
        <v>0</v>
      </c>
      <c r="D15" s="108" t="s">
        <v>852</v>
      </c>
      <c r="E15" s="109"/>
      <c r="F15" s="67">
        <f>VORN!I16</f>
        <v>0</v>
      </c>
      <c r="G15" s="108" t="s">
        <v>862</v>
      </c>
      <c r="H15" s="109"/>
      <c r="I15" s="67">
        <f>VORN!I22</f>
        <v>0</v>
      </c>
      <c r="J15" s="33"/>
    </row>
    <row r="16" spans="1:10" ht="15.15" customHeight="1" x14ac:dyDescent="0.25">
      <c r="A16" s="59" t="s">
        <v>837</v>
      </c>
      <c r="B16" s="63" t="s">
        <v>848</v>
      </c>
      <c r="C16" s="67">
        <f>SUM('Stavební rozpočet'!AD12:AD304)</f>
        <v>0</v>
      </c>
      <c r="D16" s="108" t="s">
        <v>853</v>
      </c>
      <c r="E16" s="109"/>
      <c r="F16" s="67">
        <f>VORN!I17</f>
        <v>0</v>
      </c>
      <c r="G16" s="108" t="s">
        <v>863</v>
      </c>
      <c r="H16" s="109"/>
      <c r="I16" s="67">
        <f>VORN!I23</f>
        <v>0</v>
      </c>
      <c r="J16" s="33"/>
    </row>
    <row r="17" spans="1:10" ht="15.15" customHeight="1" x14ac:dyDescent="0.25">
      <c r="A17" s="60"/>
      <c r="B17" s="63" t="s">
        <v>614</v>
      </c>
      <c r="C17" s="67">
        <f>SUM('Stavební rozpočet'!AE12:AE304)</f>
        <v>0</v>
      </c>
      <c r="D17" s="108"/>
      <c r="E17" s="109"/>
      <c r="F17" s="68"/>
      <c r="G17" s="108" t="s">
        <v>864</v>
      </c>
      <c r="H17" s="109"/>
      <c r="I17" s="67">
        <f>VORN!I24</f>
        <v>0</v>
      </c>
      <c r="J17" s="33"/>
    </row>
    <row r="18" spans="1:10" ht="15.15" customHeight="1" x14ac:dyDescent="0.25">
      <c r="A18" s="59" t="s">
        <v>838</v>
      </c>
      <c r="B18" s="63" t="s">
        <v>848</v>
      </c>
      <c r="C18" s="67">
        <f>SUM('Stavební rozpočet'!AF12:AF304)</f>
        <v>0</v>
      </c>
      <c r="D18" s="108"/>
      <c r="E18" s="109"/>
      <c r="F18" s="68"/>
      <c r="G18" s="108" t="s">
        <v>865</v>
      </c>
      <c r="H18" s="109"/>
      <c r="I18" s="67">
        <f>VORN!I25</f>
        <v>0</v>
      </c>
      <c r="J18" s="33"/>
    </row>
    <row r="19" spans="1:10" ht="15.15" customHeight="1" x14ac:dyDescent="0.25">
      <c r="A19" s="60"/>
      <c r="B19" s="63" t="s">
        <v>614</v>
      </c>
      <c r="C19" s="67">
        <f>SUM('Stavební rozpočet'!AG12:AG304)</f>
        <v>0</v>
      </c>
      <c r="D19" s="108"/>
      <c r="E19" s="109"/>
      <c r="F19" s="68"/>
      <c r="G19" s="108" t="s">
        <v>866</v>
      </c>
      <c r="H19" s="109"/>
      <c r="I19" s="67">
        <f>VORN!I26</f>
        <v>0</v>
      </c>
      <c r="J19" s="33"/>
    </row>
    <row r="20" spans="1:10" ht="15.15" customHeight="1" x14ac:dyDescent="0.25">
      <c r="A20" s="106" t="s">
        <v>839</v>
      </c>
      <c r="B20" s="107"/>
      <c r="C20" s="67">
        <f>SUM('Stavební rozpočet'!AH12:AH304)</f>
        <v>0</v>
      </c>
      <c r="D20" s="108"/>
      <c r="E20" s="109"/>
      <c r="F20" s="68"/>
      <c r="G20" s="108"/>
      <c r="H20" s="109"/>
      <c r="I20" s="68"/>
      <c r="J20" s="33"/>
    </row>
    <row r="21" spans="1:10" ht="15.15" customHeight="1" x14ac:dyDescent="0.25">
      <c r="A21" s="106" t="s">
        <v>840</v>
      </c>
      <c r="B21" s="107"/>
      <c r="C21" s="67">
        <f>SUM('Stavební rozpočet'!Z12:Z304)</f>
        <v>0</v>
      </c>
      <c r="D21" s="108"/>
      <c r="E21" s="109"/>
      <c r="F21" s="68"/>
      <c r="G21" s="108"/>
      <c r="H21" s="109"/>
      <c r="I21" s="68"/>
      <c r="J21" s="33"/>
    </row>
    <row r="22" spans="1:10" ht="16.649999999999999" customHeight="1" x14ac:dyDescent="0.25">
      <c r="A22" s="106" t="s">
        <v>841</v>
      </c>
      <c r="B22" s="107"/>
      <c r="C22" s="67">
        <f>SUM(C14:C21)</f>
        <v>0</v>
      </c>
      <c r="D22" s="106" t="s">
        <v>854</v>
      </c>
      <c r="E22" s="107"/>
      <c r="F22" s="67">
        <f>SUM(F14:F21)</f>
        <v>0</v>
      </c>
      <c r="G22" s="106" t="s">
        <v>867</v>
      </c>
      <c r="H22" s="107"/>
      <c r="I22" s="67">
        <f>SUM(I14:I21)</f>
        <v>0</v>
      </c>
      <c r="J22" s="33"/>
    </row>
    <row r="23" spans="1:10" ht="15.15" customHeight="1" x14ac:dyDescent="0.25">
      <c r="A23" s="8"/>
      <c r="B23" s="8"/>
      <c r="C23" s="65"/>
      <c r="D23" s="106" t="s">
        <v>855</v>
      </c>
      <c r="E23" s="107"/>
      <c r="F23" s="69">
        <v>0</v>
      </c>
      <c r="G23" s="106" t="s">
        <v>868</v>
      </c>
      <c r="H23" s="107"/>
      <c r="I23" s="67">
        <v>0</v>
      </c>
      <c r="J23" s="33"/>
    </row>
    <row r="24" spans="1:10" ht="15.15" customHeight="1" x14ac:dyDescent="0.25">
      <c r="D24" s="8"/>
      <c r="E24" s="8"/>
      <c r="F24" s="70"/>
      <c r="G24" s="106" t="s">
        <v>869</v>
      </c>
      <c r="H24" s="107"/>
      <c r="I24" s="67">
        <f>vorn_sum</f>
        <v>0</v>
      </c>
      <c r="J24" s="33"/>
    </row>
    <row r="25" spans="1:10" ht="15.15" customHeight="1" x14ac:dyDescent="0.25">
      <c r="F25" s="71"/>
      <c r="G25" s="106" t="s">
        <v>870</v>
      </c>
      <c r="H25" s="107"/>
      <c r="I25" s="67">
        <v>0</v>
      </c>
      <c r="J25" s="33"/>
    </row>
    <row r="26" spans="1:10" x14ac:dyDescent="0.25">
      <c r="A26" s="7"/>
      <c r="B26" s="7"/>
      <c r="C26" s="7"/>
      <c r="G26" s="8"/>
      <c r="H26" s="8"/>
      <c r="I26" s="8"/>
    </row>
    <row r="27" spans="1:10" ht="15.15" customHeight="1" x14ac:dyDescent="0.25">
      <c r="A27" s="101" t="s">
        <v>842</v>
      </c>
      <c r="B27" s="102"/>
      <c r="C27" s="72">
        <f>SUM('Stavební rozpočet'!AJ12:AJ304)</f>
        <v>0</v>
      </c>
      <c r="D27" s="66"/>
      <c r="E27" s="7"/>
      <c r="F27" s="7"/>
      <c r="G27" s="7"/>
      <c r="H27" s="7"/>
      <c r="I27" s="7"/>
    </row>
    <row r="28" spans="1:10" ht="15.15" customHeight="1" x14ac:dyDescent="0.25">
      <c r="A28" s="101" t="s">
        <v>843</v>
      </c>
      <c r="B28" s="102"/>
      <c r="C28" s="72">
        <f>SUM('Stavební rozpočet'!AK12:AK304)</f>
        <v>0</v>
      </c>
      <c r="D28" s="101" t="s">
        <v>856</v>
      </c>
      <c r="E28" s="102"/>
      <c r="F28" s="72">
        <f>ROUND(C28*(15/100),2)</f>
        <v>0</v>
      </c>
      <c r="G28" s="101" t="s">
        <v>871</v>
      </c>
      <c r="H28" s="102"/>
      <c r="I28" s="72">
        <f>SUM(C27:C29)</f>
        <v>0</v>
      </c>
      <c r="J28" s="33"/>
    </row>
    <row r="29" spans="1:10" ht="15.15" customHeight="1" x14ac:dyDescent="0.25">
      <c r="A29" s="101" t="s">
        <v>844</v>
      </c>
      <c r="B29" s="102"/>
      <c r="C29" s="72">
        <f>SUM('Stavební rozpočet'!AL12:AL304)+(F22+I22+F23+I23+I24+I25)</f>
        <v>0</v>
      </c>
      <c r="D29" s="101" t="s">
        <v>857</v>
      </c>
      <c r="E29" s="102"/>
      <c r="F29" s="72">
        <f>ROUND(C29*(21/100),2)</f>
        <v>0</v>
      </c>
      <c r="G29" s="101" t="s">
        <v>872</v>
      </c>
      <c r="H29" s="102"/>
      <c r="I29" s="72">
        <f>SUM(F28:F29)+I28</f>
        <v>0</v>
      </c>
      <c r="J29" s="33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</row>
    <row r="31" spans="1:10" ht="14.4" customHeight="1" x14ac:dyDescent="0.25">
      <c r="A31" s="103" t="s">
        <v>845</v>
      </c>
      <c r="B31" s="104"/>
      <c r="C31" s="105"/>
      <c r="D31" s="103" t="s">
        <v>858</v>
      </c>
      <c r="E31" s="104"/>
      <c r="F31" s="105"/>
      <c r="G31" s="103" t="s">
        <v>873</v>
      </c>
      <c r="H31" s="104"/>
      <c r="I31" s="105"/>
      <c r="J31" s="34"/>
    </row>
    <row r="32" spans="1:10" ht="14.4" customHeight="1" x14ac:dyDescent="0.25">
      <c r="A32" s="95"/>
      <c r="B32" s="96"/>
      <c r="C32" s="97"/>
      <c r="D32" s="95"/>
      <c r="E32" s="96"/>
      <c r="F32" s="97"/>
      <c r="G32" s="95"/>
      <c r="H32" s="96"/>
      <c r="I32" s="97"/>
      <c r="J32" s="34"/>
    </row>
    <row r="33" spans="1:10" ht="14.4" customHeight="1" x14ac:dyDescent="0.25">
      <c r="A33" s="95"/>
      <c r="B33" s="96"/>
      <c r="C33" s="97"/>
      <c r="D33" s="95"/>
      <c r="E33" s="96"/>
      <c r="F33" s="97"/>
      <c r="G33" s="95"/>
      <c r="H33" s="96"/>
      <c r="I33" s="97"/>
      <c r="J33" s="34"/>
    </row>
    <row r="34" spans="1:10" ht="14.4" customHeight="1" x14ac:dyDescent="0.25">
      <c r="A34" s="95"/>
      <c r="B34" s="96"/>
      <c r="C34" s="97"/>
      <c r="D34" s="95"/>
      <c r="E34" s="96"/>
      <c r="F34" s="97"/>
      <c r="G34" s="95"/>
      <c r="H34" s="96"/>
      <c r="I34" s="97"/>
      <c r="J34" s="34"/>
    </row>
    <row r="35" spans="1:10" ht="14.4" customHeight="1" x14ac:dyDescent="0.25">
      <c r="A35" s="98" t="s">
        <v>846</v>
      </c>
      <c r="B35" s="99"/>
      <c r="C35" s="100"/>
      <c r="D35" s="98" t="s">
        <v>846</v>
      </c>
      <c r="E35" s="99"/>
      <c r="F35" s="100"/>
      <c r="G35" s="98" t="s">
        <v>846</v>
      </c>
      <c r="H35" s="99"/>
      <c r="I35" s="100"/>
      <c r="J35" s="34"/>
    </row>
    <row r="36" spans="1:10" ht="11.25" customHeight="1" x14ac:dyDescent="0.25">
      <c r="A36" s="62" t="s">
        <v>146</v>
      </c>
      <c r="B36" s="64"/>
      <c r="C36" s="64"/>
      <c r="D36" s="64"/>
      <c r="E36" s="64"/>
      <c r="F36" s="64"/>
      <c r="G36" s="64"/>
      <c r="H36" s="64"/>
      <c r="I36" s="64"/>
    </row>
    <row r="37" spans="1:10" ht="153.9" customHeight="1" x14ac:dyDescent="0.25">
      <c r="A37" s="177" t="s">
        <v>147</v>
      </c>
      <c r="B37" s="178"/>
      <c r="C37" s="178"/>
      <c r="D37" s="178"/>
      <c r="E37" s="178"/>
      <c r="F37" s="178"/>
      <c r="G37" s="178"/>
      <c r="H37" s="178"/>
      <c r="I37" s="178"/>
    </row>
    <row r="39" spans="1:10" ht="18.75" customHeight="1" x14ac:dyDescent="0.25">
      <c r="A39" s="180" t="s">
        <v>892</v>
      </c>
      <c r="B39" s="179"/>
      <c r="C39" s="179"/>
      <c r="D39" s="179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zoomScaleNormal="100" workbookViewId="0">
      <pane ySplit="10" topLeftCell="A32" activePane="bottomLeft" state="frozenSplit"/>
      <selection pane="bottomLeft" activeCell="E8" sqref="E8:E9"/>
    </sheetView>
  </sheetViews>
  <sheetFormatPr defaultColWidth="11.5546875" defaultRowHeight="13.2" x14ac:dyDescent="0.25"/>
  <cols>
    <col min="1" max="2" width="16.5546875" customWidth="1"/>
    <col min="3" max="3" width="41.6640625" customWidth="1"/>
    <col min="4" max="4" width="22.109375" customWidth="1"/>
    <col min="5" max="5" width="21" customWidth="1"/>
    <col min="6" max="6" width="20.88671875" customWidth="1"/>
    <col min="7" max="7" width="19.6640625" customWidth="1"/>
    <col min="8" max="9" width="0" hidden="1" customWidth="1"/>
  </cols>
  <sheetData>
    <row r="1" spans="1:9" ht="72.900000000000006" customHeight="1" x14ac:dyDescent="0.4">
      <c r="A1" s="139" t="s">
        <v>685</v>
      </c>
      <c r="B1" s="128"/>
      <c r="C1" s="128"/>
      <c r="D1" s="128"/>
      <c r="E1" s="128"/>
      <c r="F1" s="128"/>
      <c r="G1" s="128"/>
    </row>
    <row r="2" spans="1:9" x14ac:dyDescent="0.25">
      <c r="A2" s="129" t="s">
        <v>1</v>
      </c>
      <c r="B2" s="131" t="str">
        <f>'Stavební rozpočet'!D2</f>
        <v>Vestavba zkušebních komor, Brno-Medlánky OPRAVA 07/2019</v>
      </c>
      <c r="C2" s="132"/>
      <c r="D2" s="134" t="s">
        <v>605</v>
      </c>
      <c r="E2" s="134" t="str">
        <f>'Stavební rozpočet'!I2</f>
        <v>Strojírenský zkušební ústav, s.p. zastoupená ředitelem Ing. Tomášem Hruškou</v>
      </c>
      <c r="F2" s="130"/>
      <c r="G2" s="140"/>
      <c r="H2" s="33"/>
    </row>
    <row r="3" spans="1:9" x14ac:dyDescent="0.25">
      <c r="A3" s="122"/>
      <c r="B3" s="133"/>
      <c r="C3" s="133"/>
      <c r="D3" s="115"/>
      <c r="E3" s="115"/>
      <c r="F3" s="115"/>
      <c r="G3" s="124"/>
      <c r="H3" s="33"/>
    </row>
    <row r="4" spans="1:9" x14ac:dyDescent="0.25">
      <c r="A4" s="114" t="s">
        <v>2</v>
      </c>
      <c r="B4" s="118"/>
      <c r="C4" s="115"/>
      <c r="D4" s="118" t="s">
        <v>606</v>
      </c>
      <c r="E4" s="118" t="str">
        <f>'Stavební rozpočet'!I4</f>
        <v xml:space="preserve"> A77 architektonický ateliér Brno, s.r.o.</v>
      </c>
      <c r="F4" s="115"/>
      <c r="G4" s="124"/>
      <c r="H4" s="33"/>
    </row>
    <row r="5" spans="1:9" x14ac:dyDescent="0.25">
      <c r="A5" s="122"/>
      <c r="B5" s="115"/>
      <c r="C5" s="115"/>
      <c r="D5" s="115"/>
      <c r="E5" s="115"/>
      <c r="F5" s="115"/>
      <c r="G5" s="124"/>
      <c r="H5" s="33"/>
    </row>
    <row r="6" spans="1:9" x14ac:dyDescent="0.25">
      <c r="A6" s="114" t="s">
        <v>3</v>
      </c>
      <c r="B6" s="118"/>
      <c r="C6" s="115"/>
      <c r="D6" s="118" t="s">
        <v>607</v>
      </c>
      <c r="E6" s="93"/>
      <c r="F6" s="94"/>
      <c r="G6" s="126"/>
      <c r="H6" s="33"/>
    </row>
    <row r="7" spans="1:9" x14ac:dyDescent="0.25">
      <c r="A7" s="122"/>
      <c r="B7" s="115"/>
      <c r="C7" s="115"/>
      <c r="D7" s="115"/>
      <c r="E7" s="94"/>
      <c r="F7" s="94"/>
      <c r="G7" s="126"/>
      <c r="H7" s="33"/>
    </row>
    <row r="8" spans="1:9" x14ac:dyDescent="0.25">
      <c r="A8" s="114" t="s">
        <v>608</v>
      </c>
      <c r="B8" s="118" t="str">
        <f>'Stavební rozpočet'!I8</f>
        <v>Ing. Václav Holub</v>
      </c>
      <c r="C8" s="115"/>
      <c r="D8" s="119" t="s">
        <v>589</v>
      </c>
      <c r="E8" s="181" t="str">
        <f>'Stavební rozpočet'!G8</f>
        <v>15.07.2019</v>
      </c>
      <c r="F8" s="181"/>
      <c r="G8" s="184"/>
      <c r="H8" s="183"/>
    </row>
    <row r="9" spans="1:9" x14ac:dyDescent="0.25">
      <c r="A9" s="136"/>
      <c r="B9" s="137"/>
      <c r="C9" s="137"/>
      <c r="D9" s="137"/>
      <c r="E9" s="182"/>
      <c r="F9" s="182"/>
      <c r="G9" s="185"/>
      <c r="H9" s="183"/>
    </row>
    <row r="10" spans="1:9" x14ac:dyDescent="0.25">
      <c r="A10" s="44" t="s">
        <v>148</v>
      </c>
      <c r="B10" s="46" t="s">
        <v>149</v>
      </c>
      <c r="C10" s="47" t="s">
        <v>686</v>
      </c>
      <c r="D10" s="48" t="s">
        <v>687</v>
      </c>
      <c r="E10" s="48" t="s">
        <v>688</v>
      </c>
      <c r="F10" s="48" t="s">
        <v>689</v>
      </c>
      <c r="G10" s="50" t="s">
        <v>690</v>
      </c>
      <c r="H10" s="34"/>
    </row>
    <row r="11" spans="1:9" x14ac:dyDescent="0.25">
      <c r="A11" s="45"/>
      <c r="B11" s="45" t="s">
        <v>17</v>
      </c>
      <c r="C11" s="45" t="s">
        <v>308</v>
      </c>
      <c r="D11" s="51">
        <f>'Stavební rozpočet'!H12</f>
        <v>0</v>
      </c>
      <c r="E11" s="51">
        <f>'Stavební rozpočet'!I12</f>
        <v>0</v>
      </c>
      <c r="F11" s="51">
        <f>'Stavební rozpočet'!J12</f>
        <v>0</v>
      </c>
      <c r="G11" s="51">
        <f>'Stavební rozpočet'!M12</f>
        <v>25.652850000000001</v>
      </c>
      <c r="H11" s="35" t="s">
        <v>691</v>
      </c>
      <c r="I11" s="35">
        <f t="shared" ref="I11:I46" si="0">IF(H11="F",0,F11)</f>
        <v>0</v>
      </c>
    </row>
    <row r="12" spans="1:9" x14ac:dyDescent="0.25">
      <c r="A12" s="18"/>
      <c r="B12" s="18" t="s">
        <v>19</v>
      </c>
      <c r="C12" s="18" t="s">
        <v>314</v>
      </c>
      <c r="D12" s="35">
        <f>'Stavební rozpočet'!H18</f>
        <v>0</v>
      </c>
      <c r="E12" s="35">
        <f>'Stavební rozpočet'!I18</f>
        <v>0</v>
      </c>
      <c r="F12" s="35">
        <f>'Stavební rozpočet'!J18</f>
        <v>0</v>
      </c>
      <c r="G12" s="35">
        <f>'Stavební rozpočet'!M18</f>
        <v>0</v>
      </c>
      <c r="H12" s="35" t="s">
        <v>691</v>
      </c>
      <c r="I12" s="35">
        <f t="shared" si="0"/>
        <v>0</v>
      </c>
    </row>
    <row r="13" spans="1:9" x14ac:dyDescent="0.25">
      <c r="A13" s="18"/>
      <c r="B13" s="18" t="s">
        <v>23</v>
      </c>
      <c r="C13" s="18" t="s">
        <v>317</v>
      </c>
      <c r="D13" s="35">
        <f>'Stavební rozpočet'!H21</f>
        <v>0</v>
      </c>
      <c r="E13" s="35">
        <f>'Stavební rozpočet'!I21</f>
        <v>0</v>
      </c>
      <c r="F13" s="35">
        <f>'Stavební rozpočet'!J21</f>
        <v>0</v>
      </c>
      <c r="G13" s="35">
        <f>'Stavební rozpočet'!M21</f>
        <v>0</v>
      </c>
      <c r="H13" s="35" t="s">
        <v>691</v>
      </c>
      <c r="I13" s="35">
        <f t="shared" si="0"/>
        <v>0</v>
      </c>
    </row>
    <row r="14" spans="1:9" x14ac:dyDescent="0.25">
      <c r="A14" s="18"/>
      <c r="B14" s="18" t="s">
        <v>33</v>
      </c>
      <c r="C14" s="18" t="s">
        <v>320</v>
      </c>
      <c r="D14" s="35">
        <f>'Stavební rozpočet'!H24</f>
        <v>0</v>
      </c>
      <c r="E14" s="35">
        <f>'Stavební rozpočet'!I24</f>
        <v>0</v>
      </c>
      <c r="F14" s="35">
        <f>'Stavební rozpočet'!J24</f>
        <v>0</v>
      </c>
      <c r="G14" s="35">
        <f>'Stavební rozpočet'!M24</f>
        <v>62.727636638400007</v>
      </c>
      <c r="H14" s="35" t="s">
        <v>691</v>
      </c>
      <c r="I14" s="35">
        <f t="shared" si="0"/>
        <v>0</v>
      </c>
    </row>
    <row r="15" spans="1:9" x14ac:dyDescent="0.25">
      <c r="A15" s="18"/>
      <c r="B15" s="18" t="s">
        <v>37</v>
      </c>
      <c r="C15" s="18" t="s">
        <v>335</v>
      </c>
      <c r="D15" s="35">
        <f>'Stavební rozpočet'!H39</f>
        <v>0</v>
      </c>
      <c r="E15" s="35">
        <f>'Stavební rozpočet'!I39</f>
        <v>0</v>
      </c>
      <c r="F15" s="35">
        <f>'Stavební rozpočet'!J39</f>
        <v>0</v>
      </c>
      <c r="G15" s="35">
        <f>'Stavební rozpočet'!M39</f>
        <v>32.366090596399999</v>
      </c>
      <c r="H15" s="35" t="s">
        <v>691</v>
      </c>
      <c r="I15" s="35">
        <f t="shared" si="0"/>
        <v>0</v>
      </c>
    </row>
    <row r="16" spans="1:9" x14ac:dyDescent="0.25">
      <c r="A16" s="18"/>
      <c r="B16" s="18" t="s">
        <v>40</v>
      </c>
      <c r="C16" s="18" t="s">
        <v>352</v>
      </c>
      <c r="D16" s="35">
        <f>'Stavební rozpočet'!H56</f>
        <v>0</v>
      </c>
      <c r="E16" s="35">
        <f>'Stavební rozpočet'!I56</f>
        <v>0</v>
      </c>
      <c r="F16" s="35">
        <f>'Stavební rozpočet'!J56</f>
        <v>0</v>
      </c>
      <c r="G16" s="35">
        <f>'Stavební rozpočet'!M56</f>
        <v>5.3716879999999998</v>
      </c>
      <c r="H16" s="35" t="s">
        <v>691</v>
      </c>
      <c r="I16" s="35">
        <f t="shared" si="0"/>
        <v>0</v>
      </c>
    </row>
    <row r="17" spans="1:9" x14ac:dyDescent="0.25">
      <c r="A17" s="18"/>
      <c r="B17" s="18" t="s">
        <v>44</v>
      </c>
      <c r="C17" s="18" t="s">
        <v>359</v>
      </c>
      <c r="D17" s="35">
        <f>'Stavební rozpočet'!H63</f>
        <v>0</v>
      </c>
      <c r="E17" s="35">
        <f>'Stavební rozpočet'!I63</f>
        <v>0</v>
      </c>
      <c r="F17" s="35">
        <f>'Stavební rozpočet'!J63</f>
        <v>0</v>
      </c>
      <c r="G17" s="35">
        <f>'Stavební rozpočet'!M63</f>
        <v>38.609610000000004</v>
      </c>
      <c r="H17" s="35" t="s">
        <v>691</v>
      </c>
      <c r="I17" s="35">
        <f t="shared" si="0"/>
        <v>0</v>
      </c>
    </row>
    <row r="18" spans="1:9" x14ac:dyDescent="0.25">
      <c r="A18" s="18"/>
      <c r="B18" s="18" t="s">
        <v>47</v>
      </c>
      <c r="C18" s="18" t="s">
        <v>368</v>
      </c>
      <c r="D18" s="35">
        <f>'Stavební rozpočet'!H72</f>
        <v>0</v>
      </c>
      <c r="E18" s="35">
        <f>'Stavební rozpočet'!I72</f>
        <v>0</v>
      </c>
      <c r="F18" s="35">
        <f>'Stavební rozpočet'!J72</f>
        <v>0</v>
      </c>
      <c r="G18" s="35">
        <f>'Stavební rozpočet'!M72</f>
        <v>12.080856236200001</v>
      </c>
      <c r="H18" s="35" t="s">
        <v>691</v>
      </c>
      <c r="I18" s="35">
        <f t="shared" si="0"/>
        <v>0</v>
      </c>
    </row>
    <row r="19" spans="1:9" x14ac:dyDescent="0.25">
      <c r="A19" s="18"/>
      <c r="B19" s="18" t="s">
        <v>50</v>
      </c>
      <c r="C19" s="18" t="s">
        <v>382</v>
      </c>
      <c r="D19" s="35">
        <f>'Stavební rozpočet'!H87</f>
        <v>0</v>
      </c>
      <c r="E19" s="35">
        <f>'Stavební rozpočet'!I87</f>
        <v>0</v>
      </c>
      <c r="F19" s="35">
        <f>'Stavební rozpočet'!J87</f>
        <v>0</v>
      </c>
      <c r="G19" s="35">
        <f>'Stavební rozpočet'!M87</f>
        <v>1.55669952</v>
      </c>
      <c r="H19" s="35" t="s">
        <v>691</v>
      </c>
      <c r="I19" s="35">
        <f t="shared" si="0"/>
        <v>0</v>
      </c>
    </row>
    <row r="20" spans="1:9" x14ac:dyDescent="0.25">
      <c r="A20" s="18"/>
      <c r="B20" s="18" t="s">
        <v>63</v>
      </c>
      <c r="C20" s="18" t="s">
        <v>388</v>
      </c>
      <c r="D20" s="35">
        <f>'Stavební rozpočet'!H93</f>
        <v>0</v>
      </c>
      <c r="E20" s="35">
        <f>'Stavební rozpočet'!I93</f>
        <v>0</v>
      </c>
      <c r="F20" s="35">
        <f>'Stavební rozpočet'!J93</f>
        <v>0</v>
      </c>
      <c r="G20" s="35">
        <f>'Stavební rozpočet'!M93</f>
        <v>40.832520000000002</v>
      </c>
      <c r="H20" s="35" t="s">
        <v>691</v>
      </c>
      <c r="I20" s="35">
        <f t="shared" si="0"/>
        <v>0</v>
      </c>
    </row>
    <row r="21" spans="1:9" x14ac:dyDescent="0.25">
      <c r="A21" s="18"/>
      <c r="B21" s="18" t="s">
        <v>65</v>
      </c>
      <c r="C21" s="18" t="s">
        <v>396</v>
      </c>
      <c r="D21" s="35">
        <f>'Stavební rozpočet'!H101</f>
        <v>0</v>
      </c>
      <c r="E21" s="35">
        <f>'Stavební rozpočet'!I101</f>
        <v>0</v>
      </c>
      <c r="F21" s="35">
        <f>'Stavební rozpočet'!J101</f>
        <v>0</v>
      </c>
      <c r="G21" s="35">
        <f>'Stavební rozpočet'!M101</f>
        <v>8.8851000000000013</v>
      </c>
      <c r="H21" s="35" t="s">
        <v>691</v>
      </c>
      <c r="I21" s="35">
        <f t="shared" si="0"/>
        <v>0</v>
      </c>
    </row>
    <row r="22" spans="1:9" x14ac:dyDescent="0.25">
      <c r="A22" s="18"/>
      <c r="B22" s="18" t="s">
        <v>67</v>
      </c>
      <c r="C22" s="18" t="s">
        <v>402</v>
      </c>
      <c r="D22" s="35">
        <f>'Stavební rozpočet'!H107</f>
        <v>0</v>
      </c>
      <c r="E22" s="35">
        <f>'Stavební rozpočet'!I107</f>
        <v>0</v>
      </c>
      <c r="F22" s="35">
        <f>'Stavební rozpočet'!J107</f>
        <v>0</v>
      </c>
      <c r="G22" s="35">
        <f>'Stavební rozpočet'!M107</f>
        <v>29.028143550000003</v>
      </c>
      <c r="H22" s="35" t="s">
        <v>691</v>
      </c>
      <c r="I22" s="35">
        <f t="shared" si="0"/>
        <v>0</v>
      </c>
    </row>
    <row r="23" spans="1:9" x14ac:dyDescent="0.25">
      <c r="A23" s="18"/>
      <c r="B23" s="18" t="s">
        <v>69</v>
      </c>
      <c r="C23" s="18" t="s">
        <v>411</v>
      </c>
      <c r="D23" s="35">
        <f>'Stavební rozpočet'!H118</f>
        <v>0</v>
      </c>
      <c r="E23" s="35">
        <f>'Stavební rozpočet'!I118</f>
        <v>0</v>
      </c>
      <c r="F23" s="35">
        <f>'Stavební rozpočet'!J118</f>
        <v>0</v>
      </c>
      <c r="G23" s="35">
        <f>'Stavební rozpočet'!M118</f>
        <v>61.824412500000001</v>
      </c>
      <c r="H23" s="35" t="s">
        <v>691</v>
      </c>
      <c r="I23" s="35">
        <f t="shared" si="0"/>
        <v>0</v>
      </c>
    </row>
    <row r="24" spans="1:9" x14ac:dyDescent="0.25">
      <c r="A24" s="18"/>
      <c r="B24" s="18" t="s">
        <v>70</v>
      </c>
      <c r="C24" s="18" t="s">
        <v>415</v>
      </c>
      <c r="D24" s="35">
        <f>'Stavební rozpočet'!H122</f>
        <v>0</v>
      </c>
      <c r="E24" s="35">
        <f>'Stavební rozpočet'!I122</f>
        <v>0</v>
      </c>
      <c r="F24" s="35">
        <f>'Stavební rozpočet'!J122</f>
        <v>0</v>
      </c>
      <c r="G24" s="35">
        <f>'Stavební rozpočet'!M122</f>
        <v>5.5573899999999998</v>
      </c>
      <c r="H24" s="35" t="s">
        <v>691</v>
      </c>
      <c r="I24" s="35">
        <f t="shared" si="0"/>
        <v>0</v>
      </c>
    </row>
    <row r="25" spans="1:9" x14ac:dyDescent="0.25">
      <c r="A25" s="18"/>
      <c r="B25" s="18" t="s">
        <v>200</v>
      </c>
      <c r="C25" s="18" t="s">
        <v>422</v>
      </c>
      <c r="D25" s="35">
        <f>'Stavební rozpočet'!H131</f>
        <v>0</v>
      </c>
      <c r="E25" s="35">
        <f>'Stavební rozpočet'!I131</f>
        <v>0</v>
      </c>
      <c r="F25" s="35">
        <f>'Stavební rozpočet'!J131</f>
        <v>0</v>
      </c>
      <c r="G25" s="35">
        <f>'Stavební rozpočet'!M131</f>
        <v>0.432203</v>
      </c>
      <c r="H25" s="35" t="s">
        <v>691</v>
      </c>
      <c r="I25" s="35">
        <f t="shared" si="0"/>
        <v>0</v>
      </c>
    </row>
    <row r="26" spans="1:9" x14ac:dyDescent="0.25">
      <c r="A26" s="18"/>
      <c r="B26" s="18" t="s">
        <v>204</v>
      </c>
      <c r="C26" s="18" t="s">
        <v>428</v>
      </c>
      <c r="D26" s="35">
        <f>'Stavební rozpočet'!H137</f>
        <v>0</v>
      </c>
      <c r="E26" s="35">
        <f>'Stavební rozpočet'!I137</f>
        <v>0</v>
      </c>
      <c r="F26" s="35">
        <f>'Stavební rozpočet'!J137</f>
        <v>0</v>
      </c>
      <c r="G26" s="35">
        <f>'Stavební rozpočet'!M137</f>
        <v>0.1766528</v>
      </c>
      <c r="H26" s="35" t="s">
        <v>691</v>
      </c>
      <c r="I26" s="35">
        <f t="shared" si="0"/>
        <v>0</v>
      </c>
    </row>
    <row r="27" spans="1:9" x14ac:dyDescent="0.25">
      <c r="A27" s="18"/>
      <c r="B27" s="18" t="s">
        <v>207</v>
      </c>
      <c r="C27" s="18" t="s">
        <v>433</v>
      </c>
      <c r="D27" s="35">
        <f>'Stavební rozpočet'!H142</f>
        <v>0</v>
      </c>
      <c r="E27" s="35">
        <f>'Stavební rozpočet'!I142</f>
        <v>0</v>
      </c>
      <c r="F27" s="35">
        <f>'Stavební rozpočet'!J142</f>
        <v>0</v>
      </c>
      <c r="G27" s="35">
        <f>'Stavební rozpočet'!M142</f>
        <v>1.65524436</v>
      </c>
      <c r="H27" s="35" t="s">
        <v>691</v>
      </c>
      <c r="I27" s="35">
        <f t="shared" si="0"/>
        <v>0</v>
      </c>
    </row>
    <row r="28" spans="1:9" x14ac:dyDescent="0.25">
      <c r="A28" s="18"/>
      <c r="B28" s="18" t="s">
        <v>211</v>
      </c>
      <c r="C28" s="18" t="s">
        <v>440</v>
      </c>
      <c r="D28" s="35">
        <f>'Stavební rozpočet'!H149</f>
        <v>0</v>
      </c>
      <c r="E28" s="35">
        <f>'Stavební rozpočet'!I149</f>
        <v>0</v>
      </c>
      <c r="F28" s="35">
        <f>'Stavební rozpočet'!J149</f>
        <v>0</v>
      </c>
      <c r="G28" s="35">
        <f>'Stavební rozpočet'!M149</f>
        <v>0.25278499999999998</v>
      </c>
      <c r="H28" s="35" t="s">
        <v>691</v>
      </c>
      <c r="I28" s="35">
        <f t="shared" si="0"/>
        <v>0</v>
      </c>
    </row>
    <row r="29" spans="1:9" x14ac:dyDescent="0.25">
      <c r="A29" s="18"/>
      <c r="B29" s="18" t="s">
        <v>222</v>
      </c>
      <c r="C29" s="18" t="s">
        <v>451</v>
      </c>
      <c r="D29" s="35">
        <f>'Stavební rozpočet'!H160</f>
        <v>0</v>
      </c>
      <c r="E29" s="35">
        <f>'Stavební rozpočet'!I160</f>
        <v>0</v>
      </c>
      <c r="F29" s="35">
        <f>'Stavební rozpočet'!J160</f>
        <v>0</v>
      </c>
      <c r="G29" s="35">
        <f>'Stavební rozpočet'!M160</f>
        <v>0.1323</v>
      </c>
      <c r="H29" s="35" t="s">
        <v>691</v>
      </c>
      <c r="I29" s="35">
        <f t="shared" si="0"/>
        <v>0</v>
      </c>
    </row>
    <row r="30" spans="1:9" x14ac:dyDescent="0.25">
      <c r="A30" s="18"/>
      <c r="B30" s="18" t="s">
        <v>231</v>
      </c>
      <c r="C30" s="18" t="s">
        <v>464</v>
      </c>
      <c r="D30" s="35">
        <f>'Stavební rozpočet'!H175</f>
        <v>0</v>
      </c>
      <c r="E30" s="35">
        <f>'Stavební rozpočet'!I175</f>
        <v>0</v>
      </c>
      <c r="F30" s="35">
        <f>'Stavební rozpočet'!J175</f>
        <v>0</v>
      </c>
      <c r="G30" s="35">
        <f>'Stavební rozpočet'!M175</f>
        <v>9.6379999999999993E-2</v>
      </c>
      <c r="H30" s="35" t="s">
        <v>691</v>
      </c>
      <c r="I30" s="35">
        <f t="shared" si="0"/>
        <v>0</v>
      </c>
    </row>
    <row r="31" spans="1:9" x14ac:dyDescent="0.25">
      <c r="A31" s="18"/>
      <c r="B31" s="18" t="s">
        <v>236</v>
      </c>
      <c r="C31" s="18" t="s">
        <v>471</v>
      </c>
      <c r="D31" s="35">
        <f>'Stavební rozpočet'!H182</f>
        <v>0</v>
      </c>
      <c r="E31" s="35">
        <f>'Stavební rozpočet'!I182</f>
        <v>0</v>
      </c>
      <c r="F31" s="35">
        <f>'Stavební rozpočet'!J182</f>
        <v>0</v>
      </c>
      <c r="G31" s="35">
        <f>'Stavební rozpočet'!M182</f>
        <v>1.2474000000000001</v>
      </c>
      <c r="H31" s="35" t="s">
        <v>691</v>
      </c>
      <c r="I31" s="35">
        <f t="shared" si="0"/>
        <v>0</v>
      </c>
    </row>
    <row r="32" spans="1:9" x14ac:dyDescent="0.25">
      <c r="A32" s="18"/>
      <c r="B32" s="18" t="s">
        <v>238</v>
      </c>
      <c r="C32" s="18" t="s">
        <v>474</v>
      </c>
      <c r="D32" s="35">
        <f>'Stavební rozpočet'!H185</f>
        <v>0</v>
      </c>
      <c r="E32" s="35">
        <f>'Stavební rozpočet'!I185</f>
        <v>0</v>
      </c>
      <c r="F32" s="35">
        <f>'Stavební rozpočet'!J185</f>
        <v>0</v>
      </c>
      <c r="G32" s="35">
        <f>'Stavební rozpočet'!M185</f>
        <v>0.146865</v>
      </c>
      <c r="H32" s="35" t="s">
        <v>691</v>
      </c>
      <c r="I32" s="35">
        <f t="shared" si="0"/>
        <v>0</v>
      </c>
    </row>
    <row r="33" spans="1:9" x14ac:dyDescent="0.25">
      <c r="A33" s="18"/>
      <c r="B33" s="18" t="s">
        <v>243</v>
      </c>
      <c r="C33" s="18" t="s">
        <v>482</v>
      </c>
      <c r="D33" s="35">
        <f>'Stavební rozpočet'!H193</f>
        <v>0</v>
      </c>
      <c r="E33" s="35">
        <f>'Stavební rozpočet'!I193</f>
        <v>0</v>
      </c>
      <c r="F33" s="35">
        <f>'Stavební rozpočet'!J193</f>
        <v>0</v>
      </c>
      <c r="G33" s="35">
        <f>'Stavební rozpočet'!M193</f>
        <v>4.4687599999999994E-2</v>
      </c>
      <c r="H33" s="35" t="s">
        <v>691</v>
      </c>
      <c r="I33" s="35">
        <f t="shared" si="0"/>
        <v>0</v>
      </c>
    </row>
    <row r="34" spans="1:9" x14ac:dyDescent="0.25">
      <c r="A34" s="18"/>
      <c r="B34" s="18" t="s">
        <v>246</v>
      </c>
      <c r="C34" s="18" t="s">
        <v>488</v>
      </c>
      <c r="D34" s="35">
        <f>'Stavební rozpočet'!H200</f>
        <v>0</v>
      </c>
      <c r="E34" s="35">
        <f>'Stavební rozpočet'!I200</f>
        <v>0</v>
      </c>
      <c r="F34" s="35">
        <f>'Stavební rozpočet'!J200</f>
        <v>0</v>
      </c>
      <c r="G34" s="35">
        <f>'Stavební rozpočet'!M200</f>
        <v>8.9459695999999997</v>
      </c>
      <c r="H34" s="35" t="s">
        <v>691</v>
      </c>
      <c r="I34" s="35">
        <f t="shared" si="0"/>
        <v>0</v>
      </c>
    </row>
    <row r="35" spans="1:9" x14ac:dyDescent="0.25">
      <c r="A35" s="18"/>
      <c r="B35" s="18" t="s">
        <v>264</v>
      </c>
      <c r="C35" s="18" t="s">
        <v>514</v>
      </c>
      <c r="D35" s="35">
        <f>'Stavební rozpočet'!H227</f>
        <v>0</v>
      </c>
      <c r="E35" s="35">
        <f>'Stavební rozpočet'!I227</f>
        <v>0</v>
      </c>
      <c r="F35" s="35">
        <f>'Stavební rozpočet'!J227</f>
        <v>0</v>
      </c>
      <c r="G35" s="35">
        <f>'Stavební rozpočet'!M227</f>
        <v>0.33922980000000003</v>
      </c>
      <c r="H35" s="35" t="s">
        <v>691</v>
      </c>
      <c r="I35" s="35">
        <f t="shared" si="0"/>
        <v>0</v>
      </c>
    </row>
    <row r="36" spans="1:9" x14ac:dyDescent="0.25">
      <c r="A36" s="18"/>
      <c r="B36" s="18" t="s">
        <v>268</v>
      </c>
      <c r="C36" s="18" t="s">
        <v>523</v>
      </c>
      <c r="D36" s="35">
        <f>'Stavební rozpočet'!H236</f>
        <v>0</v>
      </c>
      <c r="E36" s="35">
        <f>'Stavební rozpočet'!I236</f>
        <v>0</v>
      </c>
      <c r="F36" s="35">
        <f>'Stavební rozpočet'!J236</f>
        <v>0</v>
      </c>
      <c r="G36" s="35">
        <f>'Stavební rozpočet'!M236</f>
        <v>0.15964399999999998</v>
      </c>
      <c r="H36" s="35" t="s">
        <v>691</v>
      </c>
      <c r="I36" s="35">
        <f t="shared" si="0"/>
        <v>0</v>
      </c>
    </row>
    <row r="37" spans="1:9" x14ac:dyDescent="0.25">
      <c r="A37" s="18"/>
      <c r="B37" s="18" t="s">
        <v>273</v>
      </c>
      <c r="C37" s="18" t="s">
        <v>531</v>
      </c>
      <c r="D37" s="35">
        <f>'Stavební rozpočet'!H244</f>
        <v>0</v>
      </c>
      <c r="E37" s="35">
        <f>'Stavební rozpočet'!I244</f>
        <v>0</v>
      </c>
      <c r="F37" s="35">
        <f>'Stavební rozpočet'!J244</f>
        <v>0</v>
      </c>
      <c r="G37" s="35">
        <f>'Stavební rozpočet'!M244</f>
        <v>1.3268781999999999</v>
      </c>
      <c r="H37" s="35" t="s">
        <v>691</v>
      </c>
      <c r="I37" s="35">
        <f t="shared" si="0"/>
        <v>0</v>
      </c>
    </row>
    <row r="38" spans="1:9" x14ac:dyDescent="0.25">
      <c r="A38" s="18"/>
      <c r="B38" s="18" t="s">
        <v>276</v>
      </c>
      <c r="C38" s="18" t="s">
        <v>535</v>
      </c>
      <c r="D38" s="35">
        <f>'Stavební rozpočet'!H248</f>
        <v>0</v>
      </c>
      <c r="E38" s="35">
        <f>'Stavební rozpočet'!I248</f>
        <v>0</v>
      </c>
      <c r="F38" s="35">
        <f>'Stavební rozpočet'!J248</f>
        <v>0</v>
      </c>
      <c r="G38" s="35">
        <f>'Stavební rozpočet'!M248</f>
        <v>8.6647950000000001E-2</v>
      </c>
      <c r="H38" s="35" t="s">
        <v>691</v>
      </c>
      <c r="I38" s="35">
        <f t="shared" si="0"/>
        <v>0</v>
      </c>
    </row>
    <row r="39" spans="1:9" x14ac:dyDescent="0.25">
      <c r="A39" s="18"/>
      <c r="B39" s="18" t="s">
        <v>89</v>
      </c>
      <c r="C39" s="18" t="s">
        <v>540</v>
      </c>
      <c r="D39" s="35">
        <f>'Stavební rozpočet'!H253</f>
        <v>0</v>
      </c>
      <c r="E39" s="35">
        <f>'Stavební rozpočet'!I253</f>
        <v>0</v>
      </c>
      <c r="F39" s="35">
        <f>'Stavební rozpočet'!J253</f>
        <v>0</v>
      </c>
      <c r="G39" s="35">
        <f>'Stavební rozpočet'!M253</f>
        <v>8.7087599999999998</v>
      </c>
      <c r="H39" s="35" t="s">
        <v>691</v>
      </c>
      <c r="I39" s="35">
        <f t="shared" si="0"/>
        <v>0</v>
      </c>
    </row>
    <row r="40" spans="1:9" x14ac:dyDescent="0.25">
      <c r="A40" s="18"/>
      <c r="B40" s="18" t="s">
        <v>101</v>
      </c>
      <c r="C40" s="18" t="s">
        <v>544</v>
      </c>
      <c r="D40" s="35">
        <f>'Stavební rozpočet'!H257</f>
        <v>0</v>
      </c>
      <c r="E40" s="35">
        <f>'Stavební rozpočet'!I257</f>
        <v>0</v>
      </c>
      <c r="F40" s="35">
        <f>'Stavební rozpočet'!J257</f>
        <v>0</v>
      </c>
      <c r="G40" s="35">
        <f>'Stavební rozpočet'!M257</f>
        <v>5.6349999999999997E-2</v>
      </c>
      <c r="H40" s="35" t="s">
        <v>691</v>
      </c>
      <c r="I40" s="35">
        <f t="shared" si="0"/>
        <v>0</v>
      </c>
    </row>
    <row r="41" spans="1:9" x14ac:dyDescent="0.25">
      <c r="A41" s="18"/>
      <c r="B41" s="18" t="s">
        <v>102</v>
      </c>
      <c r="C41" s="18" t="s">
        <v>552</v>
      </c>
      <c r="D41" s="35">
        <f>'Stavební rozpočet'!H265</f>
        <v>0</v>
      </c>
      <c r="E41" s="35">
        <f>'Stavební rozpočet'!I265</f>
        <v>0</v>
      </c>
      <c r="F41" s="35">
        <f>'Stavební rozpočet'!J265</f>
        <v>0</v>
      </c>
      <c r="G41" s="35">
        <f>'Stavební rozpočet'!M265</f>
        <v>76.085577232000006</v>
      </c>
      <c r="H41" s="35" t="s">
        <v>691</v>
      </c>
      <c r="I41" s="35">
        <f t="shared" si="0"/>
        <v>0</v>
      </c>
    </row>
    <row r="42" spans="1:9" x14ac:dyDescent="0.25">
      <c r="A42" s="18"/>
      <c r="B42" s="18" t="s">
        <v>104</v>
      </c>
      <c r="C42" s="18" t="s">
        <v>563</v>
      </c>
      <c r="D42" s="35">
        <f>'Stavební rozpočet'!H279</f>
        <v>0</v>
      </c>
      <c r="E42" s="35">
        <f>'Stavební rozpočet'!I279</f>
        <v>0</v>
      </c>
      <c r="F42" s="35">
        <f>'Stavební rozpočet'!J279</f>
        <v>0</v>
      </c>
      <c r="G42" s="35">
        <f>'Stavební rozpočet'!M279</f>
        <v>57.615316154999995</v>
      </c>
      <c r="H42" s="35" t="s">
        <v>691</v>
      </c>
      <c r="I42" s="35">
        <f t="shared" si="0"/>
        <v>0</v>
      </c>
    </row>
    <row r="43" spans="1:9" x14ac:dyDescent="0.25">
      <c r="A43" s="18"/>
      <c r="B43" s="18" t="s">
        <v>291</v>
      </c>
      <c r="C43" s="18" t="s">
        <v>566</v>
      </c>
      <c r="D43" s="35">
        <f>'Stavební rozpočet'!H282</f>
        <v>0</v>
      </c>
      <c r="E43" s="35">
        <f>'Stavební rozpočet'!I282</f>
        <v>0</v>
      </c>
      <c r="F43" s="35">
        <f>'Stavební rozpočet'!J282</f>
        <v>0</v>
      </c>
      <c r="G43" s="35">
        <f>'Stavební rozpočet'!M282</f>
        <v>0</v>
      </c>
      <c r="H43" s="35" t="s">
        <v>691</v>
      </c>
      <c r="I43" s="35">
        <f t="shared" si="0"/>
        <v>0</v>
      </c>
    </row>
    <row r="44" spans="1:9" x14ac:dyDescent="0.25">
      <c r="A44" s="18"/>
      <c r="B44" s="18" t="s">
        <v>293</v>
      </c>
      <c r="C44" s="18" t="s">
        <v>568</v>
      </c>
      <c r="D44" s="35">
        <f>'Stavební rozpočet'!H284</f>
        <v>0</v>
      </c>
      <c r="E44" s="35">
        <f>'Stavební rozpočet'!I284</f>
        <v>0</v>
      </c>
      <c r="F44" s="35">
        <f>'Stavební rozpočet'!J284</f>
        <v>0</v>
      </c>
      <c r="G44" s="35">
        <f>'Stavební rozpočet'!M284</f>
        <v>0</v>
      </c>
      <c r="H44" s="35" t="s">
        <v>691</v>
      </c>
      <c r="I44" s="35">
        <f t="shared" si="0"/>
        <v>0</v>
      </c>
    </row>
    <row r="45" spans="1:9" x14ac:dyDescent="0.25">
      <c r="A45" s="18"/>
      <c r="B45" s="18" t="s">
        <v>295</v>
      </c>
      <c r="C45" s="18" t="s">
        <v>571</v>
      </c>
      <c r="D45" s="35">
        <f>'Stavební rozpočet'!H287</f>
        <v>0</v>
      </c>
      <c r="E45" s="35">
        <f>'Stavební rozpočet'!I287</f>
        <v>0</v>
      </c>
      <c r="F45" s="35">
        <f>'Stavební rozpočet'!J287</f>
        <v>0</v>
      </c>
      <c r="G45" s="35">
        <f>'Stavební rozpočet'!M287</f>
        <v>0.120888</v>
      </c>
      <c r="H45" s="35" t="s">
        <v>691</v>
      </c>
      <c r="I45" s="35">
        <f t="shared" si="0"/>
        <v>0</v>
      </c>
    </row>
    <row r="46" spans="1:9" x14ac:dyDescent="0.25">
      <c r="A46" s="18"/>
      <c r="B46" s="18" t="s">
        <v>297</v>
      </c>
      <c r="C46" s="18" t="s">
        <v>574</v>
      </c>
      <c r="D46" s="35">
        <f>'Stavební rozpočet'!H292</f>
        <v>0</v>
      </c>
      <c r="E46" s="35">
        <f>'Stavební rozpočet'!I292</f>
        <v>0</v>
      </c>
      <c r="F46" s="35">
        <f>'Stavební rozpočet'!J292</f>
        <v>0</v>
      </c>
      <c r="G46" s="35">
        <f>'Stavební rozpočet'!M292</f>
        <v>0</v>
      </c>
      <c r="H46" s="35" t="s">
        <v>691</v>
      </c>
      <c r="I46" s="35">
        <f t="shared" si="0"/>
        <v>0</v>
      </c>
    </row>
    <row r="48" spans="1:9" x14ac:dyDescent="0.25">
      <c r="E48" s="49" t="s">
        <v>611</v>
      </c>
      <c r="F48" s="52">
        <f>SUM(I11:I46)</f>
        <v>0</v>
      </c>
    </row>
  </sheetData>
  <mergeCells count="19">
    <mergeCell ref="A4:A5"/>
    <mergeCell ref="B4:C5"/>
    <mergeCell ref="D4:D5"/>
    <mergeCell ref="E4:G5"/>
    <mergeCell ref="E8:E9"/>
    <mergeCell ref="F8:F9"/>
    <mergeCell ref="G8:G9"/>
    <mergeCell ref="A1:G1"/>
    <mergeCell ref="A2:A3"/>
    <mergeCell ref="B2:C3"/>
    <mergeCell ref="D2:D3"/>
    <mergeCell ref="E2:G3"/>
    <mergeCell ref="A6:A7"/>
    <mergeCell ref="B6:C7"/>
    <mergeCell ref="D6:D7"/>
    <mergeCell ref="E6:G7"/>
    <mergeCell ref="A8:A9"/>
    <mergeCell ref="B8:C9"/>
    <mergeCell ref="D8:D9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07"/>
  <sheetViews>
    <sheetView zoomScaleNormal="100" workbookViewId="0">
      <pane ySplit="11" topLeftCell="A264" activePane="bottomLeft" state="frozenSplit"/>
      <selection pane="bottomLeft" activeCell="G8" sqref="G8:G9"/>
    </sheetView>
  </sheetViews>
  <sheetFormatPr defaultColWidth="11.5546875" defaultRowHeight="13.2" x14ac:dyDescent="0.25"/>
  <cols>
    <col min="1" max="1" width="3.6640625" customWidth="1"/>
    <col min="2" max="2" width="7.5546875" customWidth="1"/>
    <col min="3" max="3" width="14.33203125" customWidth="1"/>
    <col min="4" max="4" width="83.6640625" customWidth="1"/>
    <col min="5" max="5" width="6.44140625" customWidth="1"/>
    <col min="6" max="6" width="12.88671875" customWidth="1"/>
    <col min="7" max="7" width="12" style="89" customWidth="1"/>
    <col min="8" max="10" width="14.33203125" customWidth="1"/>
    <col min="11" max="11" width="5.6640625" customWidth="1"/>
    <col min="12" max="14" width="11.6640625" customWidth="1"/>
    <col min="25" max="62" width="12.109375" hidden="1" customWidth="1"/>
  </cols>
  <sheetData>
    <row r="1" spans="1:62" ht="72.900000000000006" customHeight="1" x14ac:dyDescent="0.4">
      <c r="A1" s="139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62" x14ac:dyDescent="0.25">
      <c r="A2" s="129" t="s">
        <v>1</v>
      </c>
      <c r="B2" s="130"/>
      <c r="C2" s="130"/>
      <c r="D2" s="131" t="s">
        <v>305</v>
      </c>
      <c r="E2" s="153" t="s">
        <v>586</v>
      </c>
      <c r="F2" s="130"/>
      <c r="G2" s="154" t="s">
        <v>6</v>
      </c>
      <c r="H2" s="134" t="s">
        <v>605</v>
      </c>
      <c r="I2" s="134" t="s">
        <v>891</v>
      </c>
      <c r="J2" s="130"/>
      <c r="K2" s="130"/>
      <c r="L2" s="130"/>
      <c r="M2" s="130"/>
      <c r="N2" s="140"/>
      <c r="O2" s="33"/>
    </row>
    <row r="3" spans="1:62" x14ac:dyDescent="0.25">
      <c r="A3" s="122"/>
      <c r="B3" s="115"/>
      <c r="C3" s="115"/>
      <c r="D3" s="133"/>
      <c r="E3" s="115"/>
      <c r="F3" s="115"/>
      <c r="G3" s="94"/>
      <c r="H3" s="115"/>
      <c r="I3" s="115"/>
      <c r="J3" s="115"/>
      <c r="K3" s="115"/>
      <c r="L3" s="115"/>
      <c r="M3" s="115"/>
      <c r="N3" s="124"/>
      <c r="O3" s="33"/>
    </row>
    <row r="4" spans="1:62" x14ac:dyDescent="0.25">
      <c r="A4" s="114" t="s">
        <v>2</v>
      </c>
      <c r="B4" s="115"/>
      <c r="C4" s="115"/>
      <c r="D4" s="151"/>
      <c r="E4" s="119" t="s">
        <v>587</v>
      </c>
      <c r="F4" s="115"/>
      <c r="G4" s="150" t="s">
        <v>601</v>
      </c>
      <c r="H4" s="118" t="s">
        <v>606</v>
      </c>
      <c r="I4" s="118" t="s">
        <v>612</v>
      </c>
      <c r="J4" s="115"/>
      <c r="K4" s="115"/>
      <c r="L4" s="115"/>
      <c r="M4" s="115"/>
      <c r="N4" s="124"/>
      <c r="O4" s="33"/>
    </row>
    <row r="5" spans="1:62" x14ac:dyDescent="0.25">
      <c r="A5" s="122"/>
      <c r="B5" s="115"/>
      <c r="C5" s="115"/>
      <c r="D5" s="115"/>
      <c r="E5" s="115"/>
      <c r="F5" s="115"/>
      <c r="G5" s="94"/>
      <c r="H5" s="115"/>
      <c r="I5" s="115"/>
      <c r="J5" s="115"/>
      <c r="K5" s="115"/>
      <c r="L5" s="115"/>
      <c r="M5" s="115"/>
      <c r="N5" s="124"/>
      <c r="O5" s="33"/>
    </row>
    <row r="6" spans="1:62" x14ac:dyDescent="0.25">
      <c r="A6" s="114" t="s">
        <v>3</v>
      </c>
      <c r="B6" s="115"/>
      <c r="C6" s="115"/>
      <c r="D6" s="151"/>
      <c r="E6" s="119" t="s">
        <v>588</v>
      </c>
      <c r="F6" s="115"/>
      <c r="G6" s="150" t="s">
        <v>601</v>
      </c>
      <c r="H6" s="118" t="s">
        <v>607</v>
      </c>
      <c r="I6" s="152"/>
      <c r="J6" s="94"/>
      <c r="K6" s="94"/>
      <c r="L6" s="94"/>
      <c r="M6" s="94"/>
      <c r="N6" s="126"/>
      <c r="O6" s="33"/>
    </row>
    <row r="7" spans="1:62" x14ac:dyDescent="0.25">
      <c r="A7" s="122"/>
      <c r="B7" s="115"/>
      <c r="C7" s="115"/>
      <c r="D7" s="115"/>
      <c r="E7" s="115"/>
      <c r="F7" s="115"/>
      <c r="G7" s="94"/>
      <c r="H7" s="115"/>
      <c r="I7" s="94"/>
      <c r="J7" s="94"/>
      <c r="K7" s="94"/>
      <c r="L7" s="94"/>
      <c r="M7" s="94"/>
      <c r="N7" s="126"/>
      <c r="O7" s="33"/>
    </row>
    <row r="8" spans="1:62" x14ac:dyDescent="0.25">
      <c r="A8" s="114" t="s">
        <v>4</v>
      </c>
      <c r="B8" s="115"/>
      <c r="C8" s="115"/>
      <c r="D8" s="118">
        <v>8021974</v>
      </c>
      <c r="E8" s="119" t="s">
        <v>589</v>
      </c>
      <c r="F8" s="115"/>
      <c r="G8" s="181" t="s">
        <v>602</v>
      </c>
      <c r="H8" s="118" t="s">
        <v>608</v>
      </c>
      <c r="I8" s="118" t="s">
        <v>613</v>
      </c>
      <c r="J8" s="115"/>
      <c r="K8" s="115"/>
      <c r="L8" s="115"/>
      <c r="M8" s="115"/>
      <c r="N8" s="124"/>
      <c r="O8" s="33"/>
    </row>
    <row r="9" spans="1:62" x14ac:dyDescent="0.25">
      <c r="A9" s="136"/>
      <c r="B9" s="137"/>
      <c r="C9" s="137"/>
      <c r="D9" s="137"/>
      <c r="E9" s="137"/>
      <c r="F9" s="137"/>
      <c r="G9" s="182"/>
      <c r="H9" s="137"/>
      <c r="I9" s="137"/>
      <c r="J9" s="137"/>
      <c r="K9" s="137"/>
      <c r="L9" s="137"/>
      <c r="M9" s="137"/>
      <c r="N9" s="138"/>
      <c r="O9" s="33"/>
    </row>
    <row r="10" spans="1:62" x14ac:dyDescent="0.25">
      <c r="A10" s="1" t="s">
        <v>5</v>
      </c>
      <c r="B10" s="10" t="s">
        <v>148</v>
      </c>
      <c r="C10" s="10" t="s">
        <v>149</v>
      </c>
      <c r="D10" s="10" t="s">
        <v>306</v>
      </c>
      <c r="E10" s="10" t="s">
        <v>590</v>
      </c>
      <c r="F10" s="19" t="s">
        <v>600</v>
      </c>
      <c r="G10" s="85" t="s">
        <v>603</v>
      </c>
      <c r="H10" s="146" t="s">
        <v>609</v>
      </c>
      <c r="I10" s="147"/>
      <c r="J10" s="148"/>
      <c r="K10" s="22" t="s">
        <v>616</v>
      </c>
      <c r="L10" s="146" t="s">
        <v>617</v>
      </c>
      <c r="M10" s="149"/>
      <c r="N10" s="29" t="s">
        <v>618</v>
      </c>
      <c r="O10" s="34"/>
    </row>
    <row r="11" spans="1:62" x14ac:dyDescent="0.25">
      <c r="A11" s="2" t="s">
        <v>6</v>
      </c>
      <c r="B11" s="11" t="s">
        <v>6</v>
      </c>
      <c r="C11" s="11" t="s">
        <v>6</v>
      </c>
      <c r="D11" s="16" t="s">
        <v>307</v>
      </c>
      <c r="E11" s="11" t="s">
        <v>6</v>
      </c>
      <c r="F11" s="11" t="s">
        <v>6</v>
      </c>
      <c r="G11" s="86" t="s">
        <v>604</v>
      </c>
      <c r="H11" s="23" t="s">
        <v>610</v>
      </c>
      <c r="I11" s="24" t="s">
        <v>614</v>
      </c>
      <c r="J11" s="24" t="s">
        <v>615</v>
      </c>
      <c r="K11" s="25" t="s">
        <v>6</v>
      </c>
      <c r="L11" s="23" t="s">
        <v>603</v>
      </c>
      <c r="M11" s="28" t="s">
        <v>615</v>
      </c>
      <c r="N11" s="30" t="s">
        <v>619</v>
      </c>
      <c r="O11" s="34"/>
      <c r="Z11" s="27" t="s">
        <v>623</v>
      </c>
      <c r="AA11" s="27" t="s">
        <v>624</v>
      </c>
      <c r="AB11" s="27" t="s">
        <v>625</v>
      </c>
      <c r="AC11" s="27" t="s">
        <v>626</v>
      </c>
      <c r="AD11" s="27" t="s">
        <v>627</v>
      </c>
      <c r="AE11" s="27" t="s">
        <v>628</v>
      </c>
      <c r="AF11" s="27" t="s">
        <v>629</v>
      </c>
      <c r="AG11" s="27" t="s">
        <v>630</v>
      </c>
      <c r="AH11" s="27" t="s">
        <v>631</v>
      </c>
      <c r="BH11" s="27" t="s">
        <v>682</v>
      </c>
      <c r="BI11" s="27" t="s">
        <v>683</v>
      </c>
      <c r="BJ11" s="27" t="s">
        <v>684</v>
      </c>
    </row>
    <row r="12" spans="1:62" x14ac:dyDescent="0.25">
      <c r="A12" s="3"/>
      <c r="B12" s="12"/>
      <c r="C12" s="12" t="s">
        <v>17</v>
      </c>
      <c r="D12" s="12" t="s">
        <v>308</v>
      </c>
      <c r="E12" s="3" t="s">
        <v>6</v>
      </c>
      <c r="F12" s="3" t="s">
        <v>6</v>
      </c>
      <c r="G12" s="87" t="s">
        <v>6</v>
      </c>
      <c r="H12" s="37">
        <f>SUM(H13:H16)</f>
        <v>0</v>
      </c>
      <c r="I12" s="37">
        <f>SUM(I13:I16)</f>
        <v>0</v>
      </c>
      <c r="J12" s="37">
        <f>SUM(J13:J16)</f>
        <v>0</v>
      </c>
      <c r="K12" s="40">
        <f>IF(J305=0,0,J12/J305)</f>
        <v>0</v>
      </c>
      <c r="L12" s="26"/>
      <c r="M12" s="37">
        <f>SUM(M13:M16)</f>
        <v>25.652850000000001</v>
      </c>
      <c r="N12" s="26"/>
      <c r="AI12" s="27"/>
      <c r="AS12" s="38">
        <f>SUM(AJ13:AJ16)</f>
        <v>0</v>
      </c>
      <c r="AT12" s="38">
        <f>SUM(AK13:AK16)</f>
        <v>0</v>
      </c>
      <c r="AU12" s="38">
        <f>SUM(AL13:AL16)</f>
        <v>0</v>
      </c>
    </row>
    <row r="13" spans="1:62" x14ac:dyDescent="0.25">
      <c r="A13" s="4" t="s">
        <v>7</v>
      </c>
      <c r="B13" s="4"/>
      <c r="C13" s="4" t="s">
        <v>150</v>
      </c>
      <c r="D13" s="4" t="s">
        <v>309</v>
      </c>
      <c r="E13" s="4" t="s">
        <v>591</v>
      </c>
      <c r="F13" s="20">
        <v>28.5</v>
      </c>
      <c r="G13" s="88"/>
      <c r="H13" s="20">
        <f>F13*AO13</f>
        <v>0</v>
      </c>
      <c r="I13" s="20">
        <f>F13*AP13</f>
        <v>0</v>
      </c>
      <c r="J13" s="20">
        <f>F13*G13</f>
        <v>0</v>
      </c>
      <c r="K13" s="41">
        <f>IF(J305=0,0,J13/J305)</f>
        <v>0</v>
      </c>
      <c r="L13" s="20">
        <v>0.90010000000000001</v>
      </c>
      <c r="M13" s="20">
        <f>F13*L13</f>
        <v>25.652850000000001</v>
      </c>
      <c r="N13" s="31" t="s">
        <v>620</v>
      </c>
      <c r="Z13" s="35">
        <f>IF(AQ13="5",BJ13,0)</f>
        <v>0</v>
      </c>
      <c r="AB13" s="35">
        <f>IF(AQ13="1",BH13,0)</f>
        <v>0</v>
      </c>
      <c r="AC13" s="35">
        <f>IF(AQ13="1",BI13,0)</f>
        <v>0</v>
      </c>
      <c r="AD13" s="35">
        <f>IF(AQ13="7",BH13,0)</f>
        <v>0</v>
      </c>
      <c r="AE13" s="35">
        <f>IF(AQ13="7",BI13,0)</f>
        <v>0</v>
      </c>
      <c r="AF13" s="35">
        <f>IF(AQ13="2",BH13,0)</f>
        <v>0</v>
      </c>
      <c r="AG13" s="35">
        <f>IF(AQ13="2",BI13,0)</f>
        <v>0</v>
      </c>
      <c r="AH13" s="35">
        <f>IF(AQ13="0",BJ13,0)</f>
        <v>0</v>
      </c>
      <c r="AI13" s="27"/>
      <c r="AJ13" s="20">
        <f>IF(AN13=0,J13,0)</f>
        <v>0</v>
      </c>
      <c r="AK13" s="20">
        <f>IF(AN13=15,J13,0)</f>
        <v>0</v>
      </c>
      <c r="AL13" s="20">
        <f>IF(AN13=21,J13,0)</f>
        <v>0</v>
      </c>
      <c r="AN13" s="35">
        <v>21</v>
      </c>
      <c r="AO13" s="35">
        <f>G13*0.00786226746523883</f>
        <v>0</v>
      </c>
      <c r="AP13" s="35">
        <f>G13*(1-0.00786226746523883)</f>
        <v>0</v>
      </c>
      <c r="AQ13" s="31" t="s">
        <v>7</v>
      </c>
      <c r="AV13" s="35">
        <f>AW13+AX13</f>
        <v>0</v>
      </c>
      <c r="AW13" s="35">
        <f>F13*AO13</f>
        <v>0</v>
      </c>
      <c r="AX13" s="35">
        <f>F13*AP13</f>
        <v>0</v>
      </c>
      <c r="AY13" s="36" t="s">
        <v>632</v>
      </c>
      <c r="AZ13" s="36" t="s">
        <v>668</v>
      </c>
      <c r="BA13" s="27" t="s">
        <v>681</v>
      </c>
      <c r="BC13" s="35">
        <f>AW13+AX13</f>
        <v>0</v>
      </c>
      <c r="BD13" s="35">
        <f>G13/(100-BE13)*100</f>
        <v>0</v>
      </c>
      <c r="BE13" s="35">
        <v>0</v>
      </c>
      <c r="BF13" s="35">
        <f>M13</f>
        <v>25.652850000000001</v>
      </c>
      <c r="BH13" s="20">
        <f>F13*AO13</f>
        <v>0</v>
      </c>
      <c r="BI13" s="20">
        <f>F13*AP13</f>
        <v>0</v>
      </c>
      <c r="BJ13" s="20">
        <f>F13*G13</f>
        <v>0</v>
      </c>
    </row>
    <row r="14" spans="1:62" x14ac:dyDescent="0.25">
      <c r="D14" s="17" t="s">
        <v>310</v>
      </c>
    </row>
    <row r="15" spans="1:62" ht="25.65" customHeight="1" x14ac:dyDescent="0.25">
      <c r="C15" s="14" t="s">
        <v>151</v>
      </c>
      <c r="D15" s="141" t="s">
        <v>311</v>
      </c>
      <c r="E15" s="142"/>
      <c r="F15" s="142"/>
      <c r="G15" s="142"/>
      <c r="H15" s="142"/>
      <c r="I15" s="142"/>
      <c r="J15" s="142"/>
      <c r="K15" s="142"/>
      <c r="L15" s="142"/>
      <c r="M15" s="142"/>
      <c r="N15" s="142"/>
    </row>
    <row r="16" spans="1:62" x14ac:dyDescent="0.25">
      <c r="A16" s="4" t="s">
        <v>8</v>
      </c>
      <c r="B16" s="4"/>
      <c r="C16" s="4" t="s">
        <v>152</v>
      </c>
      <c r="D16" s="4" t="s">
        <v>312</v>
      </c>
      <c r="E16" s="4" t="s">
        <v>591</v>
      </c>
      <c r="F16" s="20">
        <v>28.5</v>
      </c>
      <c r="G16" s="88"/>
      <c r="H16" s="20">
        <f>F16*AO16</f>
        <v>0</v>
      </c>
      <c r="I16" s="20">
        <f>F16*AP16</f>
        <v>0</v>
      </c>
      <c r="J16" s="20">
        <f>F16*G16</f>
        <v>0</v>
      </c>
      <c r="K16" s="41">
        <f>IF(J305=0,0,J16/J305)</f>
        <v>0</v>
      </c>
      <c r="L16" s="20">
        <v>0</v>
      </c>
      <c r="M16" s="20">
        <f>F16*L16</f>
        <v>0</v>
      </c>
      <c r="N16" s="31" t="s">
        <v>620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27"/>
      <c r="AJ16" s="20">
        <f>IF(AN16=0,J16,0)</f>
        <v>0</v>
      </c>
      <c r="AK16" s="20">
        <f>IF(AN16=15,J16,0)</f>
        <v>0</v>
      </c>
      <c r="AL16" s="20">
        <f>IF(AN16=21,J16,0)</f>
        <v>0</v>
      </c>
      <c r="AN16" s="35">
        <v>21</v>
      </c>
      <c r="AO16" s="35">
        <f>G16*0.0127795527156549</f>
        <v>0</v>
      </c>
      <c r="AP16" s="35">
        <f>G16*(1-0.0127795527156549)</f>
        <v>0</v>
      </c>
      <c r="AQ16" s="31" t="s">
        <v>7</v>
      </c>
      <c r="AV16" s="35">
        <f>AW16+AX16</f>
        <v>0</v>
      </c>
      <c r="AW16" s="35">
        <f>F16*AO16</f>
        <v>0</v>
      </c>
      <c r="AX16" s="35">
        <f>F16*AP16</f>
        <v>0</v>
      </c>
      <c r="AY16" s="36" t="s">
        <v>632</v>
      </c>
      <c r="AZ16" s="36" t="s">
        <v>668</v>
      </c>
      <c r="BA16" s="27" t="s">
        <v>681</v>
      </c>
      <c r="BC16" s="35">
        <f>AW16+AX16</f>
        <v>0</v>
      </c>
      <c r="BD16" s="35">
        <f>G16/(100-BE16)*100</f>
        <v>0</v>
      </c>
      <c r="BE16" s="35">
        <v>0</v>
      </c>
      <c r="BF16" s="35">
        <f>M16</f>
        <v>0</v>
      </c>
      <c r="BH16" s="20">
        <f>F16*AO16</f>
        <v>0</v>
      </c>
      <c r="BI16" s="20">
        <f>F16*AP16</f>
        <v>0</v>
      </c>
      <c r="BJ16" s="20">
        <f>F16*G16</f>
        <v>0</v>
      </c>
    </row>
    <row r="17" spans="1:62" x14ac:dyDescent="0.25">
      <c r="C17" s="14" t="s">
        <v>151</v>
      </c>
      <c r="D17" s="141" t="s">
        <v>313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62" x14ac:dyDescent="0.25">
      <c r="A18" s="5"/>
      <c r="B18" s="13"/>
      <c r="C18" s="13" t="s">
        <v>19</v>
      </c>
      <c r="D18" s="13" t="s">
        <v>314</v>
      </c>
      <c r="E18" s="5" t="s">
        <v>6</v>
      </c>
      <c r="F18" s="5" t="s">
        <v>6</v>
      </c>
      <c r="G18" s="90" t="s">
        <v>6</v>
      </c>
      <c r="H18" s="38">
        <f>SUM(H19:H19)</f>
        <v>0</v>
      </c>
      <c r="I18" s="38">
        <f>SUM(I19:I19)</f>
        <v>0</v>
      </c>
      <c r="J18" s="38">
        <f>SUM(J19:J19)</f>
        <v>0</v>
      </c>
      <c r="K18" s="42">
        <f>IF(J305=0,0,J18/J305)</f>
        <v>0</v>
      </c>
      <c r="L18" s="27"/>
      <c r="M18" s="38">
        <f>SUM(M19:M19)</f>
        <v>0</v>
      </c>
      <c r="N18" s="27"/>
      <c r="AI18" s="27"/>
      <c r="AS18" s="38">
        <f>SUM(AJ19:AJ19)</f>
        <v>0</v>
      </c>
      <c r="AT18" s="38">
        <f>SUM(AK19:AK19)</f>
        <v>0</v>
      </c>
      <c r="AU18" s="38">
        <f>SUM(AL19:AL19)</f>
        <v>0</v>
      </c>
    </row>
    <row r="19" spans="1:62" x14ac:dyDescent="0.25">
      <c r="A19" s="4" t="s">
        <v>9</v>
      </c>
      <c r="B19" s="4"/>
      <c r="C19" s="4" t="s">
        <v>153</v>
      </c>
      <c r="D19" s="4" t="s">
        <v>315</v>
      </c>
      <c r="E19" s="4" t="s">
        <v>592</v>
      </c>
      <c r="F19" s="20">
        <v>40.236600000000003</v>
      </c>
      <c r="G19" s="88"/>
      <c r="H19" s="20">
        <f>F19*AO19</f>
        <v>0</v>
      </c>
      <c r="I19" s="20">
        <f>F19*AP19</f>
        <v>0</v>
      </c>
      <c r="J19" s="20">
        <f>F19*G19</f>
        <v>0</v>
      </c>
      <c r="K19" s="41">
        <f>IF(J305=0,0,J19/J305)</f>
        <v>0</v>
      </c>
      <c r="L19" s="20">
        <v>0</v>
      </c>
      <c r="M19" s="20">
        <f>F19*L19</f>
        <v>0</v>
      </c>
      <c r="N19" s="31" t="s">
        <v>620</v>
      </c>
      <c r="Z19" s="35">
        <f>IF(AQ19="5",BJ19,0)</f>
        <v>0</v>
      </c>
      <c r="AB19" s="35">
        <f>IF(AQ19="1",BH19,0)</f>
        <v>0</v>
      </c>
      <c r="AC19" s="35">
        <f>IF(AQ19="1",BI19,0)</f>
        <v>0</v>
      </c>
      <c r="AD19" s="35">
        <f>IF(AQ19="7",BH19,0)</f>
        <v>0</v>
      </c>
      <c r="AE19" s="35">
        <f>IF(AQ19="7",BI19,0)</f>
        <v>0</v>
      </c>
      <c r="AF19" s="35">
        <f>IF(AQ19="2",BH19,0)</f>
        <v>0</v>
      </c>
      <c r="AG19" s="35">
        <f>IF(AQ19="2",BI19,0)</f>
        <v>0</v>
      </c>
      <c r="AH19" s="35">
        <f>IF(AQ19="0",BJ19,0)</f>
        <v>0</v>
      </c>
      <c r="AI19" s="27"/>
      <c r="AJ19" s="20">
        <f>IF(AN19=0,J19,0)</f>
        <v>0</v>
      </c>
      <c r="AK19" s="20">
        <f>IF(AN19=15,J19,0)</f>
        <v>0</v>
      </c>
      <c r="AL19" s="20">
        <f>IF(AN19=21,J19,0)</f>
        <v>0</v>
      </c>
      <c r="AN19" s="35">
        <v>21</v>
      </c>
      <c r="AO19" s="35">
        <f>G19*0</f>
        <v>0</v>
      </c>
      <c r="AP19" s="35">
        <f>G19*(1-0)</f>
        <v>0</v>
      </c>
      <c r="AQ19" s="31" t="s">
        <v>7</v>
      </c>
      <c r="AV19" s="35">
        <f>AW19+AX19</f>
        <v>0</v>
      </c>
      <c r="AW19" s="35">
        <f>F19*AO19</f>
        <v>0</v>
      </c>
      <c r="AX19" s="35">
        <f>F19*AP19</f>
        <v>0</v>
      </c>
      <c r="AY19" s="36" t="s">
        <v>633</v>
      </c>
      <c r="AZ19" s="36" t="s">
        <v>668</v>
      </c>
      <c r="BA19" s="27" t="s">
        <v>681</v>
      </c>
      <c r="BC19" s="35">
        <f>AW19+AX19</f>
        <v>0</v>
      </c>
      <c r="BD19" s="35">
        <f>G19/(100-BE19)*100</f>
        <v>0</v>
      </c>
      <c r="BE19" s="35">
        <v>0</v>
      </c>
      <c r="BF19" s="35">
        <f>M19</f>
        <v>0</v>
      </c>
      <c r="BH19" s="20">
        <f>F19*AO19</f>
        <v>0</v>
      </c>
      <c r="BI19" s="20">
        <f>F19*AP19</f>
        <v>0</v>
      </c>
      <c r="BJ19" s="20">
        <f>F19*G19</f>
        <v>0</v>
      </c>
    </row>
    <row r="20" spans="1:62" ht="25.65" customHeight="1" x14ac:dyDescent="0.25">
      <c r="C20" s="14" t="s">
        <v>151</v>
      </c>
      <c r="D20" s="141" t="s">
        <v>316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62" x14ac:dyDescent="0.25">
      <c r="A21" s="5"/>
      <c r="B21" s="13"/>
      <c r="C21" s="13" t="s">
        <v>23</v>
      </c>
      <c r="D21" s="13" t="s">
        <v>317</v>
      </c>
      <c r="E21" s="5" t="s">
        <v>6</v>
      </c>
      <c r="F21" s="5" t="s">
        <v>6</v>
      </c>
      <c r="G21" s="90" t="s">
        <v>6</v>
      </c>
      <c r="H21" s="38">
        <f>SUM(H22:H22)</f>
        <v>0</v>
      </c>
      <c r="I21" s="38">
        <f>SUM(I22:I22)</f>
        <v>0</v>
      </c>
      <c r="J21" s="38">
        <f>SUM(J22:J22)</f>
        <v>0</v>
      </c>
      <c r="K21" s="42">
        <f>IF(J305=0,0,J21/J305)</f>
        <v>0</v>
      </c>
      <c r="L21" s="27"/>
      <c r="M21" s="38">
        <f>SUM(M22:M22)</f>
        <v>0</v>
      </c>
      <c r="N21" s="27"/>
      <c r="AI21" s="27"/>
      <c r="AS21" s="38">
        <f>SUM(AJ22:AJ22)</f>
        <v>0</v>
      </c>
      <c r="AT21" s="38">
        <f>SUM(AK22:AK22)</f>
        <v>0</v>
      </c>
      <c r="AU21" s="38">
        <f>SUM(AL22:AL22)</f>
        <v>0</v>
      </c>
    </row>
    <row r="22" spans="1:62" x14ac:dyDescent="0.25">
      <c r="A22" s="4" t="s">
        <v>10</v>
      </c>
      <c r="B22" s="4"/>
      <c r="C22" s="4" t="s">
        <v>154</v>
      </c>
      <c r="D22" s="4" t="s">
        <v>318</v>
      </c>
      <c r="E22" s="4" t="s">
        <v>592</v>
      </c>
      <c r="F22" s="20">
        <v>40.2136</v>
      </c>
      <c r="G22" s="88"/>
      <c r="H22" s="20">
        <f>F22*AO22</f>
        <v>0</v>
      </c>
      <c r="I22" s="20">
        <f>F22*AP22</f>
        <v>0</v>
      </c>
      <c r="J22" s="20">
        <f>F22*G22</f>
        <v>0</v>
      </c>
      <c r="K22" s="41">
        <f>IF(J305=0,0,J22/J305)</f>
        <v>0</v>
      </c>
      <c r="L22" s="20">
        <v>0</v>
      </c>
      <c r="M22" s="20">
        <f>F22*L22</f>
        <v>0</v>
      </c>
      <c r="N22" s="31" t="s">
        <v>620</v>
      </c>
      <c r="Z22" s="35">
        <f>IF(AQ22="5",BJ22,0)</f>
        <v>0</v>
      </c>
      <c r="AB22" s="35">
        <f>IF(AQ22="1",BH22,0)</f>
        <v>0</v>
      </c>
      <c r="AC22" s="35">
        <f>IF(AQ22="1",BI22,0)</f>
        <v>0</v>
      </c>
      <c r="AD22" s="35">
        <f>IF(AQ22="7",BH22,0)</f>
        <v>0</v>
      </c>
      <c r="AE22" s="35">
        <f>IF(AQ22="7",BI22,0)</f>
        <v>0</v>
      </c>
      <c r="AF22" s="35">
        <f>IF(AQ22="2",BH22,0)</f>
        <v>0</v>
      </c>
      <c r="AG22" s="35">
        <f>IF(AQ22="2",BI22,0)</f>
        <v>0</v>
      </c>
      <c r="AH22" s="35">
        <f>IF(AQ22="0",BJ22,0)</f>
        <v>0</v>
      </c>
      <c r="AI22" s="27"/>
      <c r="AJ22" s="20">
        <f>IF(AN22=0,J22,0)</f>
        <v>0</v>
      </c>
      <c r="AK22" s="20">
        <f>IF(AN22=15,J22,0)</f>
        <v>0</v>
      </c>
      <c r="AL22" s="20">
        <f>IF(AN22=21,J22,0)</f>
        <v>0</v>
      </c>
      <c r="AN22" s="35">
        <v>21</v>
      </c>
      <c r="AO22" s="35">
        <f>G22*0</f>
        <v>0</v>
      </c>
      <c r="AP22" s="35">
        <f>G22*(1-0)</f>
        <v>0</v>
      </c>
      <c r="AQ22" s="31" t="s">
        <v>7</v>
      </c>
      <c r="AV22" s="35">
        <f>AW22+AX22</f>
        <v>0</v>
      </c>
      <c r="AW22" s="35">
        <f>F22*AO22</f>
        <v>0</v>
      </c>
      <c r="AX22" s="35">
        <f>F22*AP22</f>
        <v>0</v>
      </c>
      <c r="AY22" s="36" t="s">
        <v>634</v>
      </c>
      <c r="AZ22" s="36" t="s">
        <v>668</v>
      </c>
      <c r="BA22" s="27" t="s">
        <v>681</v>
      </c>
      <c r="BC22" s="35">
        <f>AW22+AX22</f>
        <v>0</v>
      </c>
      <c r="BD22" s="35">
        <f>G22/(100-BE22)*100</f>
        <v>0</v>
      </c>
      <c r="BE22" s="35">
        <v>0</v>
      </c>
      <c r="BF22" s="35">
        <f>M22</f>
        <v>0</v>
      </c>
      <c r="BH22" s="20">
        <f>F22*AO22</f>
        <v>0</v>
      </c>
      <c r="BI22" s="20">
        <f>F22*AP22</f>
        <v>0</v>
      </c>
      <c r="BJ22" s="20">
        <f>F22*G22</f>
        <v>0</v>
      </c>
    </row>
    <row r="23" spans="1:62" x14ac:dyDescent="0.25">
      <c r="C23" s="14" t="s">
        <v>151</v>
      </c>
      <c r="D23" s="141" t="s">
        <v>319</v>
      </c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62" x14ac:dyDescent="0.25">
      <c r="A24" s="5"/>
      <c r="B24" s="13"/>
      <c r="C24" s="13" t="s">
        <v>33</v>
      </c>
      <c r="D24" s="13" t="s">
        <v>320</v>
      </c>
      <c r="E24" s="5" t="s">
        <v>6</v>
      </c>
      <c r="F24" s="5" t="s">
        <v>6</v>
      </c>
      <c r="G24" s="90" t="s">
        <v>6</v>
      </c>
      <c r="H24" s="38">
        <f>SUM(H25:H37)</f>
        <v>0</v>
      </c>
      <c r="I24" s="38">
        <f>SUM(I25:I37)</f>
        <v>0</v>
      </c>
      <c r="J24" s="38">
        <f>SUM(J25:J37)</f>
        <v>0</v>
      </c>
      <c r="K24" s="42">
        <f>IF(J305=0,0,J24/J305)</f>
        <v>0</v>
      </c>
      <c r="L24" s="27"/>
      <c r="M24" s="38">
        <f>SUM(M25:M37)</f>
        <v>62.727636638400007</v>
      </c>
      <c r="N24" s="27"/>
      <c r="AI24" s="27"/>
      <c r="AS24" s="38">
        <f>SUM(AJ25:AJ37)</f>
        <v>0</v>
      </c>
      <c r="AT24" s="38">
        <f>SUM(AK25:AK37)</f>
        <v>0</v>
      </c>
      <c r="AU24" s="38">
        <f>SUM(AL25:AL37)</f>
        <v>0</v>
      </c>
    </row>
    <row r="25" spans="1:62" x14ac:dyDescent="0.25">
      <c r="A25" s="4" t="s">
        <v>11</v>
      </c>
      <c r="B25" s="4"/>
      <c r="C25" s="4" t="s">
        <v>155</v>
      </c>
      <c r="D25" s="4" t="s">
        <v>321</v>
      </c>
      <c r="E25" s="4" t="s">
        <v>592</v>
      </c>
      <c r="F25" s="20">
        <v>1.9530000000000001</v>
      </c>
      <c r="G25" s="88"/>
      <c r="H25" s="20">
        <f>F25*AO25</f>
        <v>0</v>
      </c>
      <c r="I25" s="20">
        <f>F25*AP25</f>
        <v>0</v>
      </c>
      <c r="J25" s="20">
        <f>F25*G25</f>
        <v>0</v>
      </c>
      <c r="K25" s="41">
        <f>IF(J305=0,0,J25/J305)</f>
        <v>0</v>
      </c>
      <c r="L25" s="20">
        <v>2.5249999999999999</v>
      </c>
      <c r="M25" s="20">
        <f>F25*L25</f>
        <v>4.9313250000000002</v>
      </c>
      <c r="N25" s="31" t="s">
        <v>620</v>
      </c>
      <c r="Z25" s="35">
        <f>IF(AQ25="5",BJ25,0)</f>
        <v>0</v>
      </c>
      <c r="AB25" s="35">
        <f>IF(AQ25="1",BH25,0)</f>
        <v>0</v>
      </c>
      <c r="AC25" s="35">
        <f>IF(AQ25="1",BI25,0)</f>
        <v>0</v>
      </c>
      <c r="AD25" s="35">
        <f>IF(AQ25="7",BH25,0)</f>
        <v>0</v>
      </c>
      <c r="AE25" s="35">
        <f>IF(AQ25="7",BI25,0)</f>
        <v>0</v>
      </c>
      <c r="AF25" s="35">
        <f>IF(AQ25="2",BH25,0)</f>
        <v>0</v>
      </c>
      <c r="AG25" s="35">
        <f>IF(AQ25="2",BI25,0)</f>
        <v>0</v>
      </c>
      <c r="AH25" s="35">
        <f>IF(AQ25="0",BJ25,0)</f>
        <v>0</v>
      </c>
      <c r="AI25" s="27"/>
      <c r="AJ25" s="20">
        <f>IF(AN25=0,J25,0)</f>
        <v>0</v>
      </c>
      <c r="AK25" s="20">
        <f>IF(AN25=15,J25,0)</f>
        <v>0</v>
      </c>
      <c r="AL25" s="20">
        <f>IF(AN25=21,J25,0)</f>
        <v>0</v>
      </c>
      <c r="AN25" s="35">
        <v>21</v>
      </c>
      <c r="AO25" s="35">
        <f>G25*0.881151785714286</f>
        <v>0</v>
      </c>
      <c r="AP25" s="35">
        <f>G25*(1-0.881151785714286)</f>
        <v>0</v>
      </c>
      <c r="AQ25" s="31" t="s">
        <v>7</v>
      </c>
      <c r="AV25" s="35">
        <f>AW25+AX25</f>
        <v>0</v>
      </c>
      <c r="AW25" s="35">
        <f>F25*AO25</f>
        <v>0</v>
      </c>
      <c r="AX25" s="35">
        <f>F25*AP25</f>
        <v>0</v>
      </c>
      <c r="AY25" s="36" t="s">
        <v>635</v>
      </c>
      <c r="AZ25" s="36" t="s">
        <v>669</v>
      </c>
      <c r="BA25" s="27" t="s">
        <v>681</v>
      </c>
      <c r="BC25" s="35">
        <f>AW25+AX25</f>
        <v>0</v>
      </c>
      <c r="BD25" s="35">
        <f>G25/(100-BE25)*100</f>
        <v>0</v>
      </c>
      <c r="BE25" s="35">
        <v>0</v>
      </c>
      <c r="BF25" s="35">
        <f>M25</f>
        <v>4.9313250000000002</v>
      </c>
      <c r="BH25" s="20">
        <f>F25*AO25</f>
        <v>0</v>
      </c>
      <c r="BI25" s="20">
        <f>F25*AP25</f>
        <v>0</v>
      </c>
      <c r="BJ25" s="20">
        <f>F25*G25</f>
        <v>0</v>
      </c>
    </row>
    <row r="26" spans="1:62" x14ac:dyDescent="0.25">
      <c r="C26" s="14" t="s">
        <v>151</v>
      </c>
      <c r="D26" s="141" t="s">
        <v>322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62" x14ac:dyDescent="0.25">
      <c r="A27" s="4" t="s">
        <v>12</v>
      </c>
      <c r="B27" s="4"/>
      <c r="C27" s="4" t="s">
        <v>156</v>
      </c>
      <c r="D27" s="4" t="s">
        <v>323</v>
      </c>
      <c r="E27" s="4" t="s">
        <v>592</v>
      </c>
      <c r="F27" s="20">
        <v>14.448</v>
      </c>
      <c r="G27" s="88"/>
      <c r="H27" s="20">
        <f>F27*AO27</f>
        <v>0</v>
      </c>
      <c r="I27" s="20">
        <f>F27*AP27</f>
        <v>0</v>
      </c>
      <c r="J27" s="20">
        <f>F27*G27</f>
        <v>0</v>
      </c>
      <c r="K27" s="41">
        <f>IF(J305=0,0,J27/J305)</f>
        <v>0</v>
      </c>
      <c r="L27" s="20">
        <v>2.5249999999999999</v>
      </c>
      <c r="M27" s="20">
        <f>F27*L27</f>
        <v>36.481200000000001</v>
      </c>
      <c r="N27" s="31" t="s">
        <v>620</v>
      </c>
      <c r="Z27" s="35">
        <f>IF(AQ27="5",BJ27,0)</f>
        <v>0</v>
      </c>
      <c r="AB27" s="35">
        <f>IF(AQ27="1",BH27,0)</f>
        <v>0</v>
      </c>
      <c r="AC27" s="35">
        <f>IF(AQ27="1",BI27,0)</f>
        <v>0</v>
      </c>
      <c r="AD27" s="35">
        <f>IF(AQ27="7",BH27,0)</f>
        <v>0</v>
      </c>
      <c r="AE27" s="35">
        <f>IF(AQ27="7",BI27,0)</f>
        <v>0</v>
      </c>
      <c r="AF27" s="35">
        <f>IF(AQ27="2",BH27,0)</f>
        <v>0</v>
      </c>
      <c r="AG27" s="35">
        <f>IF(AQ27="2",BI27,0)</f>
        <v>0</v>
      </c>
      <c r="AH27" s="35">
        <f>IF(AQ27="0",BJ27,0)</f>
        <v>0</v>
      </c>
      <c r="AI27" s="27"/>
      <c r="AJ27" s="20">
        <f>IF(AN27=0,J27,0)</f>
        <v>0</v>
      </c>
      <c r="AK27" s="20">
        <f>IF(AN27=15,J27,0)</f>
        <v>0</v>
      </c>
      <c r="AL27" s="20">
        <f>IF(AN27=21,J27,0)</f>
        <v>0</v>
      </c>
      <c r="AN27" s="35">
        <v>21</v>
      </c>
      <c r="AO27" s="35">
        <f>G27*0.892278225806452</f>
        <v>0</v>
      </c>
      <c r="AP27" s="35">
        <f>G27*(1-0.892278225806452)</f>
        <v>0</v>
      </c>
      <c r="AQ27" s="31" t="s">
        <v>7</v>
      </c>
      <c r="AV27" s="35">
        <f>AW27+AX27</f>
        <v>0</v>
      </c>
      <c r="AW27" s="35">
        <f>F27*AO27</f>
        <v>0</v>
      </c>
      <c r="AX27" s="35">
        <f>F27*AP27</f>
        <v>0</v>
      </c>
      <c r="AY27" s="36" t="s">
        <v>635</v>
      </c>
      <c r="AZ27" s="36" t="s">
        <v>669</v>
      </c>
      <c r="BA27" s="27" t="s">
        <v>681</v>
      </c>
      <c r="BC27" s="35">
        <f>AW27+AX27</f>
        <v>0</v>
      </c>
      <c r="BD27" s="35">
        <f>G27/(100-BE27)*100</f>
        <v>0</v>
      </c>
      <c r="BE27" s="35">
        <v>0</v>
      </c>
      <c r="BF27" s="35">
        <f>M27</f>
        <v>36.481200000000001</v>
      </c>
      <c r="BH27" s="20">
        <f>F27*AO27</f>
        <v>0</v>
      </c>
      <c r="BI27" s="20">
        <f>F27*AP27</f>
        <v>0</v>
      </c>
      <c r="BJ27" s="20">
        <f>F27*G27</f>
        <v>0</v>
      </c>
    </row>
    <row r="28" spans="1:62" x14ac:dyDescent="0.25">
      <c r="C28" s="14" t="s">
        <v>151</v>
      </c>
      <c r="D28" s="141" t="s">
        <v>324</v>
      </c>
      <c r="E28" s="142"/>
      <c r="F28" s="142"/>
      <c r="G28" s="142"/>
      <c r="H28" s="142"/>
      <c r="I28" s="142"/>
      <c r="J28" s="142"/>
      <c r="K28" s="142"/>
      <c r="L28" s="142"/>
      <c r="M28" s="142"/>
      <c r="N28" s="142"/>
    </row>
    <row r="29" spans="1:62" x14ac:dyDescent="0.25">
      <c r="A29" s="4" t="s">
        <v>13</v>
      </c>
      <c r="B29" s="4"/>
      <c r="C29" s="4" t="s">
        <v>157</v>
      </c>
      <c r="D29" s="4" t="s">
        <v>325</v>
      </c>
      <c r="E29" s="4" t="s">
        <v>591</v>
      </c>
      <c r="F29" s="20">
        <v>55.231999999999999</v>
      </c>
      <c r="G29" s="88"/>
      <c r="H29" s="20">
        <f>F29*AO29</f>
        <v>0</v>
      </c>
      <c r="I29" s="20">
        <f>F29*AP29</f>
        <v>0</v>
      </c>
      <c r="J29" s="20">
        <f>F29*G29</f>
        <v>0</v>
      </c>
      <c r="K29" s="41">
        <f>IF(J305=0,0,J29/J305)</f>
        <v>0</v>
      </c>
      <c r="L29" s="20">
        <v>3.9199999999999999E-2</v>
      </c>
      <c r="M29" s="20">
        <f>F29*L29</f>
        <v>2.1650944000000001</v>
      </c>
      <c r="N29" s="31" t="s">
        <v>620</v>
      </c>
      <c r="Z29" s="35">
        <f>IF(AQ29="5",BJ29,0)</f>
        <v>0</v>
      </c>
      <c r="AB29" s="35">
        <f>IF(AQ29="1",BH29,0)</f>
        <v>0</v>
      </c>
      <c r="AC29" s="35">
        <f>IF(AQ29="1",BI29,0)</f>
        <v>0</v>
      </c>
      <c r="AD29" s="35">
        <f>IF(AQ29="7",BH29,0)</f>
        <v>0</v>
      </c>
      <c r="AE29" s="35">
        <f>IF(AQ29="7",BI29,0)</f>
        <v>0</v>
      </c>
      <c r="AF29" s="35">
        <f>IF(AQ29="2",BH29,0)</f>
        <v>0</v>
      </c>
      <c r="AG29" s="35">
        <f>IF(AQ29="2",BI29,0)</f>
        <v>0</v>
      </c>
      <c r="AH29" s="35">
        <f>IF(AQ29="0",BJ29,0)</f>
        <v>0</v>
      </c>
      <c r="AI29" s="27"/>
      <c r="AJ29" s="20">
        <f>IF(AN29=0,J29,0)</f>
        <v>0</v>
      </c>
      <c r="AK29" s="20">
        <f>IF(AN29=15,J29,0)</f>
        <v>0</v>
      </c>
      <c r="AL29" s="20">
        <f>IF(AN29=21,J29,0)</f>
        <v>0</v>
      </c>
      <c r="AN29" s="35">
        <v>21</v>
      </c>
      <c r="AO29" s="35">
        <f>G29*0.296537528292353</f>
        <v>0</v>
      </c>
      <c r="AP29" s="35">
        <f>G29*(1-0.296537528292353)</f>
        <v>0</v>
      </c>
      <c r="AQ29" s="31" t="s">
        <v>7</v>
      </c>
      <c r="AV29" s="35">
        <f>AW29+AX29</f>
        <v>0</v>
      </c>
      <c r="AW29" s="35">
        <f>F29*AO29</f>
        <v>0</v>
      </c>
      <c r="AX29" s="35">
        <f>F29*AP29</f>
        <v>0</v>
      </c>
      <c r="AY29" s="36" t="s">
        <v>635</v>
      </c>
      <c r="AZ29" s="36" t="s">
        <v>669</v>
      </c>
      <c r="BA29" s="27" t="s">
        <v>681</v>
      </c>
      <c r="BC29" s="35">
        <f>AW29+AX29</f>
        <v>0</v>
      </c>
      <c r="BD29" s="35">
        <f>G29/(100-BE29)*100</f>
        <v>0</v>
      </c>
      <c r="BE29" s="35">
        <v>0</v>
      </c>
      <c r="BF29" s="35">
        <f>M29</f>
        <v>2.1650944000000001</v>
      </c>
      <c r="BH29" s="20">
        <f>F29*AO29</f>
        <v>0</v>
      </c>
      <c r="BI29" s="20">
        <f>F29*AP29</f>
        <v>0</v>
      </c>
      <c r="BJ29" s="20">
        <f>F29*G29</f>
        <v>0</v>
      </c>
    </row>
    <row r="30" spans="1:62" x14ac:dyDescent="0.25">
      <c r="A30" s="4" t="s">
        <v>14</v>
      </c>
      <c r="B30" s="4"/>
      <c r="C30" s="4" t="s">
        <v>158</v>
      </c>
      <c r="D30" s="4" t="s">
        <v>326</v>
      </c>
      <c r="E30" s="4" t="s">
        <v>591</v>
      </c>
      <c r="F30" s="20">
        <v>55.231999999999999</v>
      </c>
      <c r="G30" s="88"/>
      <c r="H30" s="20">
        <f>F30*AO30</f>
        <v>0</v>
      </c>
      <c r="I30" s="20">
        <f>F30*AP30</f>
        <v>0</v>
      </c>
      <c r="J30" s="20">
        <f>F30*G30</f>
        <v>0</v>
      </c>
      <c r="K30" s="41">
        <f>IF(J305=0,0,J30/J305)</f>
        <v>0</v>
      </c>
      <c r="L30" s="20">
        <v>0</v>
      </c>
      <c r="M30" s="20">
        <f>F30*L30</f>
        <v>0</v>
      </c>
      <c r="N30" s="31" t="s">
        <v>620</v>
      </c>
      <c r="Z30" s="35">
        <f>IF(AQ30="5",BJ30,0)</f>
        <v>0</v>
      </c>
      <c r="AB30" s="35">
        <f>IF(AQ30="1",BH30,0)</f>
        <v>0</v>
      </c>
      <c r="AC30" s="35">
        <f>IF(AQ30="1",BI30,0)</f>
        <v>0</v>
      </c>
      <c r="AD30" s="35">
        <f>IF(AQ30="7",BH30,0)</f>
        <v>0</v>
      </c>
      <c r="AE30" s="35">
        <f>IF(AQ30="7",BI30,0)</f>
        <v>0</v>
      </c>
      <c r="AF30" s="35">
        <f>IF(AQ30="2",BH30,0)</f>
        <v>0</v>
      </c>
      <c r="AG30" s="35">
        <f>IF(AQ30="2",BI30,0)</f>
        <v>0</v>
      </c>
      <c r="AH30" s="35">
        <f>IF(AQ30="0",BJ30,0)</f>
        <v>0</v>
      </c>
      <c r="AI30" s="27"/>
      <c r="AJ30" s="20">
        <f>IF(AN30=0,J30,0)</f>
        <v>0</v>
      </c>
      <c r="AK30" s="20">
        <f>IF(AN30=15,J30,0)</f>
        <v>0</v>
      </c>
      <c r="AL30" s="20">
        <f>IF(AN30=21,J30,0)</f>
        <v>0</v>
      </c>
      <c r="AN30" s="35">
        <v>21</v>
      </c>
      <c r="AO30" s="35">
        <f>G30*0</f>
        <v>0</v>
      </c>
      <c r="AP30" s="35">
        <f>G30*(1-0)</f>
        <v>0</v>
      </c>
      <c r="AQ30" s="31" t="s">
        <v>7</v>
      </c>
      <c r="AV30" s="35">
        <f>AW30+AX30</f>
        <v>0</v>
      </c>
      <c r="AW30" s="35">
        <f>F30*AO30</f>
        <v>0</v>
      </c>
      <c r="AX30" s="35">
        <f>F30*AP30</f>
        <v>0</v>
      </c>
      <c r="AY30" s="36" t="s">
        <v>635</v>
      </c>
      <c r="AZ30" s="36" t="s">
        <v>669</v>
      </c>
      <c r="BA30" s="27" t="s">
        <v>681</v>
      </c>
      <c r="BC30" s="35">
        <f>AW30+AX30</f>
        <v>0</v>
      </c>
      <c r="BD30" s="35">
        <f>G30/(100-BE30)*100</f>
        <v>0</v>
      </c>
      <c r="BE30" s="35">
        <v>0</v>
      </c>
      <c r="BF30" s="35">
        <f>M30</f>
        <v>0</v>
      </c>
      <c r="BH30" s="20">
        <f>F30*AO30</f>
        <v>0</v>
      </c>
      <c r="BI30" s="20">
        <f>F30*AP30</f>
        <v>0</v>
      </c>
      <c r="BJ30" s="20">
        <f>F30*G30</f>
        <v>0</v>
      </c>
    </row>
    <row r="31" spans="1:62" x14ac:dyDescent="0.25">
      <c r="A31" s="4" t="s">
        <v>15</v>
      </c>
      <c r="B31" s="4"/>
      <c r="C31" s="4" t="s">
        <v>159</v>
      </c>
      <c r="D31" s="4" t="s">
        <v>327</v>
      </c>
      <c r="E31" s="4" t="s">
        <v>593</v>
      </c>
      <c r="F31" s="20">
        <v>1.3003199999999999</v>
      </c>
      <c r="G31" s="88"/>
      <c r="H31" s="20">
        <f>F31*AO31</f>
        <v>0</v>
      </c>
      <c r="I31" s="20">
        <f>F31*AP31</f>
        <v>0</v>
      </c>
      <c r="J31" s="20">
        <f>F31*G31</f>
        <v>0</v>
      </c>
      <c r="K31" s="41">
        <f>IF(J305=0,0,J31/J305)</f>
        <v>0</v>
      </c>
      <c r="L31" s="20">
        <v>1.0211600000000001</v>
      </c>
      <c r="M31" s="20">
        <f>F31*L31</f>
        <v>1.3278347712</v>
      </c>
      <c r="N31" s="31" t="s">
        <v>620</v>
      </c>
      <c r="Z31" s="35">
        <f>IF(AQ31="5",BJ31,0)</f>
        <v>0</v>
      </c>
      <c r="AB31" s="35">
        <f>IF(AQ31="1",BH31,0)</f>
        <v>0</v>
      </c>
      <c r="AC31" s="35">
        <f>IF(AQ31="1",BI31,0)</f>
        <v>0</v>
      </c>
      <c r="AD31" s="35">
        <f>IF(AQ31="7",BH31,0)</f>
        <v>0</v>
      </c>
      <c r="AE31" s="35">
        <f>IF(AQ31="7",BI31,0)</f>
        <v>0</v>
      </c>
      <c r="AF31" s="35">
        <f>IF(AQ31="2",BH31,0)</f>
        <v>0</v>
      </c>
      <c r="AG31" s="35">
        <f>IF(AQ31="2",BI31,0)</f>
        <v>0</v>
      </c>
      <c r="AH31" s="35">
        <f>IF(AQ31="0",BJ31,0)</f>
        <v>0</v>
      </c>
      <c r="AI31" s="27"/>
      <c r="AJ31" s="20">
        <f>IF(AN31=0,J31,0)</f>
        <v>0</v>
      </c>
      <c r="AK31" s="20">
        <f>IF(AN31=15,J31,0)</f>
        <v>0</v>
      </c>
      <c r="AL31" s="20">
        <f>IF(AN31=21,J31,0)</f>
        <v>0</v>
      </c>
      <c r="AN31" s="35">
        <v>21</v>
      </c>
      <c r="AO31" s="35">
        <f>G31*0.64797161161055</f>
        <v>0</v>
      </c>
      <c r="AP31" s="35">
        <f>G31*(1-0.64797161161055)</f>
        <v>0</v>
      </c>
      <c r="AQ31" s="31" t="s">
        <v>7</v>
      </c>
      <c r="AV31" s="35">
        <f>AW31+AX31</f>
        <v>0</v>
      </c>
      <c r="AW31" s="35">
        <f>F31*AO31</f>
        <v>0</v>
      </c>
      <c r="AX31" s="35">
        <f>F31*AP31</f>
        <v>0</v>
      </c>
      <c r="AY31" s="36" t="s">
        <v>635</v>
      </c>
      <c r="AZ31" s="36" t="s">
        <v>669</v>
      </c>
      <c r="BA31" s="27" t="s">
        <v>681</v>
      </c>
      <c r="BC31" s="35">
        <f>AW31+AX31</f>
        <v>0</v>
      </c>
      <c r="BD31" s="35">
        <f>G31/(100-BE31)*100</f>
        <v>0</v>
      </c>
      <c r="BE31" s="35">
        <v>0</v>
      </c>
      <c r="BF31" s="35">
        <f>M31</f>
        <v>1.3278347712</v>
      </c>
      <c r="BH31" s="20">
        <f>F31*AO31</f>
        <v>0</v>
      </c>
      <c r="BI31" s="20">
        <f>F31*AP31</f>
        <v>0</v>
      </c>
      <c r="BJ31" s="20">
        <f>F31*G31</f>
        <v>0</v>
      </c>
    </row>
    <row r="32" spans="1:62" x14ac:dyDescent="0.25">
      <c r="C32" s="14" t="s">
        <v>151</v>
      </c>
      <c r="D32" s="141" t="s">
        <v>328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62" x14ac:dyDescent="0.25">
      <c r="A33" s="4" t="s">
        <v>16</v>
      </c>
      <c r="B33" s="4"/>
      <c r="C33" s="4" t="s">
        <v>160</v>
      </c>
      <c r="D33" s="4" t="s">
        <v>329</v>
      </c>
      <c r="E33" s="4" t="s">
        <v>591</v>
      </c>
      <c r="F33" s="20">
        <v>16.05</v>
      </c>
      <c r="G33" s="88"/>
      <c r="H33" s="20">
        <f>F33*AO33</f>
        <v>0</v>
      </c>
      <c r="I33" s="20">
        <f>F33*AP33</f>
        <v>0</v>
      </c>
      <c r="J33" s="20">
        <f>F33*G33</f>
        <v>0</v>
      </c>
      <c r="K33" s="41">
        <f>IF(J305=0,0,J33/J305)</f>
        <v>0</v>
      </c>
      <c r="L33" s="20">
        <v>0.6</v>
      </c>
      <c r="M33" s="20">
        <f>F33*L33</f>
        <v>9.6300000000000008</v>
      </c>
      <c r="N33" s="31" t="s">
        <v>620</v>
      </c>
      <c r="Z33" s="35">
        <f>IF(AQ33="5",BJ33,0)</f>
        <v>0</v>
      </c>
      <c r="AB33" s="35">
        <f>IF(AQ33="1",BH33,0)</f>
        <v>0</v>
      </c>
      <c r="AC33" s="35">
        <f>IF(AQ33="1",BI33,0)</f>
        <v>0</v>
      </c>
      <c r="AD33" s="35">
        <f>IF(AQ33="7",BH33,0)</f>
        <v>0</v>
      </c>
      <c r="AE33" s="35">
        <f>IF(AQ33="7",BI33,0)</f>
        <v>0</v>
      </c>
      <c r="AF33" s="35">
        <f>IF(AQ33="2",BH33,0)</f>
        <v>0</v>
      </c>
      <c r="AG33" s="35">
        <f>IF(AQ33="2",BI33,0)</f>
        <v>0</v>
      </c>
      <c r="AH33" s="35">
        <f>IF(AQ33="0",BJ33,0)</f>
        <v>0</v>
      </c>
      <c r="AI33" s="27"/>
      <c r="AJ33" s="20">
        <f>IF(AN33=0,J33,0)</f>
        <v>0</v>
      </c>
      <c r="AK33" s="20">
        <f>IF(AN33=15,J33,0)</f>
        <v>0</v>
      </c>
      <c r="AL33" s="20">
        <f>IF(AN33=21,J33,0)</f>
        <v>0</v>
      </c>
      <c r="AN33" s="35">
        <v>21</v>
      </c>
      <c r="AO33" s="35">
        <f>G33*0.623759461732548</f>
        <v>0</v>
      </c>
      <c r="AP33" s="35">
        <f>G33*(1-0.623759461732548)</f>
        <v>0</v>
      </c>
      <c r="AQ33" s="31" t="s">
        <v>7</v>
      </c>
      <c r="AV33" s="35">
        <f>AW33+AX33</f>
        <v>0</v>
      </c>
      <c r="AW33" s="35">
        <f>F33*AO33</f>
        <v>0</v>
      </c>
      <c r="AX33" s="35">
        <f>F33*AP33</f>
        <v>0</v>
      </c>
      <c r="AY33" s="36" t="s">
        <v>635</v>
      </c>
      <c r="AZ33" s="36" t="s">
        <v>669</v>
      </c>
      <c r="BA33" s="27" t="s">
        <v>681</v>
      </c>
      <c r="BC33" s="35">
        <f>AW33+AX33</f>
        <v>0</v>
      </c>
      <c r="BD33" s="35">
        <f>G33/(100-BE33)*100</f>
        <v>0</v>
      </c>
      <c r="BE33" s="35">
        <v>0</v>
      </c>
      <c r="BF33" s="35">
        <f>M33</f>
        <v>9.6300000000000008</v>
      </c>
      <c r="BH33" s="20">
        <f>F33*AO33</f>
        <v>0</v>
      </c>
      <c r="BI33" s="20">
        <f>F33*AP33</f>
        <v>0</v>
      </c>
      <c r="BJ33" s="20">
        <f>F33*G33</f>
        <v>0</v>
      </c>
    </row>
    <row r="34" spans="1:62" x14ac:dyDescent="0.25">
      <c r="C34" s="14" t="s">
        <v>151</v>
      </c>
      <c r="D34" s="141" t="s">
        <v>330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</row>
    <row r="35" spans="1:62" x14ac:dyDescent="0.25">
      <c r="A35" s="4" t="s">
        <v>17</v>
      </c>
      <c r="B35" s="4"/>
      <c r="C35" s="4" t="s">
        <v>161</v>
      </c>
      <c r="D35" s="4" t="s">
        <v>331</v>
      </c>
      <c r="E35" s="4" t="s">
        <v>593</v>
      </c>
      <c r="F35" s="20">
        <v>0.15536</v>
      </c>
      <c r="G35" s="88"/>
      <c r="H35" s="20">
        <f>F35*AO35</f>
        <v>0</v>
      </c>
      <c r="I35" s="20">
        <f>F35*AP35</f>
        <v>0</v>
      </c>
      <c r="J35" s="20">
        <f>F35*G35</f>
        <v>0</v>
      </c>
      <c r="K35" s="41">
        <f>IF(J305=0,0,J35/J305)</f>
        <v>0</v>
      </c>
      <c r="L35" s="20">
        <v>1.0085200000000001</v>
      </c>
      <c r="M35" s="20">
        <f>F35*L35</f>
        <v>0.15668366720000002</v>
      </c>
      <c r="N35" s="31" t="s">
        <v>620</v>
      </c>
      <c r="Z35" s="35">
        <f>IF(AQ35="5",BJ35,0)</f>
        <v>0</v>
      </c>
      <c r="AB35" s="35">
        <f>IF(AQ35="1",BH35,0)</f>
        <v>0</v>
      </c>
      <c r="AC35" s="35">
        <f>IF(AQ35="1",BI35,0)</f>
        <v>0</v>
      </c>
      <c r="AD35" s="35">
        <f>IF(AQ35="7",BH35,0)</f>
        <v>0</v>
      </c>
      <c r="AE35" s="35">
        <f>IF(AQ35="7",BI35,0)</f>
        <v>0</v>
      </c>
      <c r="AF35" s="35">
        <f>IF(AQ35="2",BH35,0)</f>
        <v>0</v>
      </c>
      <c r="AG35" s="35">
        <f>IF(AQ35="2",BI35,0)</f>
        <v>0</v>
      </c>
      <c r="AH35" s="35">
        <f>IF(AQ35="0",BJ35,0)</f>
        <v>0</v>
      </c>
      <c r="AI35" s="27"/>
      <c r="AJ35" s="20">
        <f>IF(AN35=0,J35,0)</f>
        <v>0</v>
      </c>
      <c r="AK35" s="20">
        <f>IF(AN35=15,J35,0)</f>
        <v>0</v>
      </c>
      <c r="AL35" s="20">
        <f>IF(AN35=21,J35,0)</f>
        <v>0</v>
      </c>
      <c r="AN35" s="35">
        <v>21</v>
      </c>
      <c r="AO35" s="35">
        <f>G35*0.890173919942174</f>
        <v>0</v>
      </c>
      <c r="AP35" s="35">
        <f>G35*(1-0.890173919942174)</f>
        <v>0</v>
      </c>
      <c r="AQ35" s="31" t="s">
        <v>7</v>
      </c>
      <c r="AV35" s="35">
        <f>AW35+AX35</f>
        <v>0</v>
      </c>
      <c r="AW35" s="35">
        <f>F35*AO35</f>
        <v>0</v>
      </c>
      <c r="AX35" s="35">
        <f>F35*AP35</f>
        <v>0</v>
      </c>
      <c r="AY35" s="36" t="s">
        <v>635</v>
      </c>
      <c r="AZ35" s="36" t="s">
        <v>669</v>
      </c>
      <c r="BA35" s="27" t="s">
        <v>681</v>
      </c>
      <c r="BC35" s="35">
        <f>AW35+AX35</f>
        <v>0</v>
      </c>
      <c r="BD35" s="35">
        <f>G35/(100-BE35)*100</f>
        <v>0</v>
      </c>
      <c r="BE35" s="35">
        <v>0</v>
      </c>
      <c r="BF35" s="35">
        <f>M35</f>
        <v>0.15668366720000002</v>
      </c>
      <c r="BH35" s="20">
        <f>F35*AO35</f>
        <v>0</v>
      </c>
      <c r="BI35" s="20">
        <f>F35*AP35</f>
        <v>0</v>
      </c>
      <c r="BJ35" s="20">
        <f>F35*G35</f>
        <v>0</v>
      </c>
    </row>
    <row r="36" spans="1:62" x14ac:dyDescent="0.25">
      <c r="C36" s="14" t="s">
        <v>151</v>
      </c>
      <c r="D36" s="141" t="s">
        <v>332</v>
      </c>
      <c r="E36" s="142"/>
      <c r="F36" s="142"/>
      <c r="G36" s="142"/>
      <c r="H36" s="142"/>
      <c r="I36" s="142"/>
      <c r="J36" s="142"/>
      <c r="K36" s="142"/>
      <c r="L36" s="142"/>
      <c r="M36" s="142"/>
      <c r="N36" s="142"/>
    </row>
    <row r="37" spans="1:62" x14ac:dyDescent="0.25">
      <c r="A37" s="4" t="s">
        <v>18</v>
      </c>
      <c r="B37" s="4"/>
      <c r="C37" s="4" t="s">
        <v>162</v>
      </c>
      <c r="D37" s="4" t="s">
        <v>333</v>
      </c>
      <c r="E37" s="4" t="s">
        <v>592</v>
      </c>
      <c r="F37" s="20">
        <v>2.52</v>
      </c>
      <c r="G37" s="88"/>
      <c r="H37" s="20">
        <f>F37*AO37</f>
        <v>0</v>
      </c>
      <c r="I37" s="20">
        <f>F37*AP37</f>
        <v>0</v>
      </c>
      <c r="J37" s="20">
        <f>F37*G37</f>
        <v>0</v>
      </c>
      <c r="K37" s="41">
        <f>IF(J305=0,0,J37/J305)</f>
        <v>0</v>
      </c>
      <c r="L37" s="20">
        <v>3.1886899999999998</v>
      </c>
      <c r="M37" s="20">
        <f>F37*L37</f>
        <v>8.0354987999999992</v>
      </c>
      <c r="N37" s="31" t="s">
        <v>620</v>
      </c>
      <c r="Z37" s="35">
        <f>IF(AQ37="5",BJ37,0)</f>
        <v>0</v>
      </c>
      <c r="AB37" s="35">
        <f>IF(AQ37="1",BH37,0)</f>
        <v>0</v>
      </c>
      <c r="AC37" s="35">
        <f>IF(AQ37="1",BI37,0)</f>
        <v>0</v>
      </c>
      <c r="AD37" s="35">
        <f>IF(AQ37="7",BH37,0)</f>
        <v>0</v>
      </c>
      <c r="AE37" s="35">
        <f>IF(AQ37="7",BI37,0)</f>
        <v>0</v>
      </c>
      <c r="AF37" s="35">
        <f>IF(AQ37="2",BH37,0)</f>
        <v>0</v>
      </c>
      <c r="AG37" s="35">
        <f>IF(AQ37="2",BI37,0)</f>
        <v>0</v>
      </c>
      <c r="AH37" s="35">
        <f>IF(AQ37="0",BJ37,0)</f>
        <v>0</v>
      </c>
      <c r="AI37" s="27"/>
      <c r="AJ37" s="20">
        <f>IF(AN37=0,J37,0)</f>
        <v>0</v>
      </c>
      <c r="AK37" s="20">
        <f>IF(AN37=15,J37,0)</f>
        <v>0</v>
      </c>
      <c r="AL37" s="20">
        <f>IF(AN37=21,J37,0)</f>
        <v>0</v>
      </c>
      <c r="AN37" s="35">
        <v>21</v>
      </c>
      <c r="AO37" s="35">
        <f>G37*0.583608421052632</f>
        <v>0</v>
      </c>
      <c r="AP37" s="35">
        <f>G37*(1-0.583608421052632)</f>
        <v>0</v>
      </c>
      <c r="AQ37" s="31" t="s">
        <v>7</v>
      </c>
      <c r="AV37" s="35">
        <f>AW37+AX37</f>
        <v>0</v>
      </c>
      <c r="AW37" s="35">
        <f>F37*AO37</f>
        <v>0</v>
      </c>
      <c r="AX37" s="35">
        <f>F37*AP37</f>
        <v>0</v>
      </c>
      <c r="AY37" s="36" t="s">
        <v>635</v>
      </c>
      <c r="AZ37" s="36" t="s">
        <v>669</v>
      </c>
      <c r="BA37" s="27" t="s">
        <v>681</v>
      </c>
      <c r="BC37" s="35">
        <f>AW37+AX37</f>
        <v>0</v>
      </c>
      <c r="BD37" s="35">
        <f>G37/(100-BE37)*100</f>
        <v>0</v>
      </c>
      <c r="BE37" s="35">
        <v>0</v>
      </c>
      <c r="BF37" s="35">
        <f>M37</f>
        <v>8.0354987999999992</v>
      </c>
      <c r="BH37" s="20">
        <f>F37*AO37</f>
        <v>0</v>
      </c>
      <c r="BI37" s="20">
        <f>F37*AP37</f>
        <v>0</v>
      </c>
      <c r="BJ37" s="20">
        <f>F37*G37</f>
        <v>0</v>
      </c>
    </row>
    <row r="38" spans="1:62" x14ac:dyDescent="0.25">
      <c r="D38" s="17" t="s">
        <v>334</v>
      </c>
    </row>
    <row r="39" spans="1:62" x14ac:dyDescent="0.25">
      <c r="A39" s="5"/>
      <c r="B39" s="13"/>
      <c r="C39" s="13" t="s">
        <v>37</v>
      </c>
      <c r="D39" s="13" t="s">
        <v>335</v>
      </c>
      <c r="E39" s="5" t="s">
        <v>6</v>
      </c>
      <c r="F39" s="5" t="s">
        <v>6</v>
      </c>
      <c r="G39" s="90" t="s">
        <v>6</v>
      </c>
      <c r="H39" s="38">
        <f>SUM(H40:H54)</f>
        <v>0</v>
      </c>
      <c r="I39" s="38">
        <f>SUM(I40:I54)</f>
        <v>0</v>
      </c>
      <c r="J39" s="38">
        <f>SUM(J40:J54)</f>
        <v>0</v>
      </c>
      <c r="K39" s="42">
        <f>IF(J305=0,0,J39/J305)</f>
        <v>0</v>
      </c>
      <c r="L39" s="27"/>
      <c r="M39" s="38">
        <f>SUM(M40:M54)</f>
        <v>32.366090596399999</v>
      </c>
      <c r="N39" s="27"/>
      <c r="AI39" s="27"/>
      <c r="AS39" s="38">
        <f>SUM(AJ40:AJ54)</f>
        <v>0</v>
      </c>
      <c r="AT39" s="38">
        <f>SUM(AK40:AK54)</f>
        <v>0</v>
      </c>
      <c r="AU39" s="38">
        <f>SUM(AL40:AL54)</f>
        <v>0</v>
      </c>
    </row>
    <row r="40" spans="1:62" x14ac:dyDescent="0.25">
      <c r="A40" s="4" t="s">
        <v>19</v>
      </c>
      <c r="B40" s="4"/>
      <c r="C40" s="4" t="s">
        <v>163</v>
      </c>
      <c r="D40" s="4" t="s">
        <v>336</v>
      </c>
      <c r="E40" s="4" t="s">
        <v>592</v>
      </c>
      <c r="F40" s="20">
        <v>6.1001399999999997</v>
      </c>
      <c r="G40" s="88"/>
      <c r="H40" s="20">
        <f>F40*AO40</f>
        <v>0</v>
      </c>
      <c r="I40" s="20">
        <f>F40*AP40</f>
        <v>0</v>
      </c>
      <c r="J40" s="20">
        <f>F40*G40</f>
        <v>0</v>
      </c>
      <c r="K40" s="41">
        <f>IF(J305=0,0,J40/J305)</f>
        <v>0</v>
      </c>
      <c r="L40" s="20">
        <v>1.62836</v>
      </c>
      <c r="M40" s="20">
        <f>F40*L40</f>
        <v>9.9332239704000003</v>
      </c>
      <c r="N40" s="31" t="s">
        <v>620</v>
      </c>
      <c r="Z40" s="35">
        <f>IF(AQ40="5",BJ40,0)</f>
        <v>0</v>
      </c>
      <c r="AB40" s="35">
        <f>IF(AQ40="1",BH40,0)</f>
        <v>0</v>
      </c>
      <c r="AC40" s="35">
        <f>IF(AQ40="1",BI40,0)</f>
        <v>0</v>
      </c>
      <c r="AD40" s="35">
        <f>IF(AQ40="7",BH40,0)</f>
        <v>0</v>
      </c>
      <c r="AE40" s="35">
        <f>IF(AQ40="7",BI40,0)</f>
        <v>0</v>
      </c>
      <c r="AF40" s="35">
        <f>IF(AQ40="2",BH40,0)</f>
        <v>0</v>
      </c>
      <c r="AG40" s="35">
        <f>IF(AQ40="2",BI40,0)</f>
        <v>0</v>
      </c>
      <c r="AH40" s="35">
        <f>IF(AQ40="0",BJ40,0)</f>
        <v>0</v>
      </c>
      <c r="AI40" s="27"/>
      <c r="AJ40" s="20">
        <f>IF(AN40=0,J40,0)</f>
        <v>0</v>
      </c>
      <c r="AK40" s="20">
        <f>IF(AN40=15,J40,0)</f>
        <v>0</v>
      </c>
      <c r="AL40" s="20">
        <f>IF(AN40=21,J40,0)</f>
        <v>0</v>
      </c>
      <c r="AN40" s="35">
        <v>21</v>
      </c>
      <c r="AO40" s="35">
        <f>G40*0.667336642654165</f>
        <v>0</v>
      </c>
      <c r="AP40" s="35">
        <f>G40*(1-0.667336642654165)</f>
        <v>0</v>
      </c>
      <c r="AQ40" s="31" t="s">
        <v>7</v>
      </c>
      <c r="AV40" s="35">
        <f>AW40+AX40</f>
        <v>0</v>
      </c>
      <c r="AW40" s="35">
        <f>F40*AO40</f>
        <v>0</v>
      </c>
      <c r="AX40" s="35">
        <f>F40*AP40</f>
        <v>0</v>
      </c>
      <c r="AY40" s="36" t="s">
        <v>636</v>
      </c>
      <c r="AZ40" s="36" t="s">
        <v>670</v>
      </c>
      <c r="BA40" s="27" t="s">
        <v>681</v>
      </c>
      <c r="BC40" s="35">
        <f>AW40+AX40</f>
        <v>0</v>
      </c>
      <c r="BD40" s="35">
        <f>G40/(100-BE40)*100</f>
        <v>0</v>
      </c>
      <c r="BE40" s="35">
        <v>0</v>
      </c>
      <c r="BF40" s="35">
        <f>M40</f>
        <v>9.9332239704000003</v>
      </c>
      <c r="BH40" s="20">
        <f>F40*AO40</f>
        <v>0</v>
      </c>
      <c r="BI40" s="20">
        <f>F40*AP40</f>
        <v>0</v>
      </c>
      <c r="BJ40" s="20">
        <f>F40*G40</f>
        <v>0</v>
      </c>
    </row>
    <row r="41" spans="1:62" x14ac:dyDescent="0.25">
      <c r="D41" s="17" t="s">
        <v>337</v>
      </c>
    </row>
    <row r="42" spans="1:62" x14ac:dyDescent="0.25">
      <c r="C42" s="14" t="s">
        <v>151</v>
      </c>
      <c r="D42" s="141" t="s">
        <v>338</v>
      </c>
      <c r="E42" s="142"/>
      <c r="F42" s="142"/>
      <c r="G42" s="142"/>
      <c r="H42" s="142"/>
      <c r="I42" s="142"/>
      <c r="J42" s="142"/>
      <c r="K42" s="142"/>
      <c r="L42" s="142"/>
      <c r="M42" s="142"/>
      <c r="N42" s="142"/>
    </row>
    <row r="43" spans="1:62" x14ac:dyDescent="0.25">
      <c r="A43" s="4" t="s">
        <v>20</v>
      </c>
      <c r="B43" s="4"/>
      <c r="C43" s="4" t="s">
        <v>164</v>
      </c>
      <c r="D43" s="4" t="s">
        <v>339</v>
      </c>
      <c r="E43" s="4" t="s">
        <v>594</v>
      </c>
      <c r="F43" s="20">
        <v>10.199999999999999</v>
      </c>
      <c r="G43" s="88"/>
      <c r="H43" s="20">
        <f>F43*AO43</f>
        <v>0</v>
      </c>
      <c r="I43" s="20">
        <f>F43*AP43</f>
        <v>0</v>
      </c>
      <c r="J43" s="20">
        <f>F43*G43</f>
        <v>0</v>
      </c>
      <c r="K43" s="41">
        <f>IF(J305=0,0,J43/J305)</f>
        <v>0</v>
      </c>
      <c r="L43" s="20">
        <v>2.0500000000000002E-3</v>
      </c>
      <c r="M43" s="20">
        <f>F43*L43</f>
        <v>2.0910000000000002E-2</v>
      </c>
      <c r="N43" s="31" t="s">
        <v>620</v>
      </c>
      <c r="Z43" s="35">
        <f>IF(AQ43="5",BJ43,0)</f>
        <v>0</v>
      </c>
      <c r="AB43" s="35">
        <f>IF(AQ43="1",BH43,0)</f>
        <v>0</v>
      </c>
      <c r="AC43" s="35">
        <f>IF(AQ43="1",BI43,0)</f>
        <v>0</v>
      </c>
      <c r="AD43" s="35">
        <f>IF(AQ43="7",BH43,0)</f>
        <v>0</v>
      </c>
      <c r="AE43" s="35">
        <f>IF(AQ43="7",BI43,0)</f>
        <v>0</v>
      </c>
      <c r="AF43" s="35">
        <f>IF(AQ43="2",BH43,0)</f>
        <v>0</v>
      </c>
      <c r="AG43" s="35">
        <f>IF(AQ43="2",BI43,0)</f>
        <v>0</v>
      </c>
      <c r="AH43" s="35">
        <f>IF(AQ43="0",BJ43,0)</f>
        <v>0</v>
      </c>
      <c r="AI43" s="27"/>
      <c r="AJ43" s="20">
        <f>IF(AN43=0,J43,0)</f>
        <v>0</v>
      </c>
      <c r="AK43" s="20">
        <f>IF(AN43=15,J43,0)</f>
        <v>0</v>
      </c>
      <c r="AL43" s="20">
        <f>IF(AN43=21,J43,0)</f>
        <v>0</v>
      </c>
      <c r="AN43" s="35">
        <v>21</v>
      </c>
      <c r="AO43" s="35">
        <f>G43*0.208093220338983</f>
        <v>0</v>
      </c>
      <c r="AP43" s="35">
        <f>G43*(1-0.208093220338983)</f>
        <v>0</v>
      </c>
      <c r="AQ43" s="31" t="s">
        <v>7</v>
      </c>
      <c r="AV43" s="35">
        <f>AW43+AX43</f>
        <v>0</v>
      </c>
      <c r="AW43" s="35">
        <f>F43*AO43</f>
        <v>0</v>
      </c>
      <c r="AX43" s="35">
        <f>F43*AP43</f>
        <v>0</v>
      </c>
      <c r="AY43" s="36" t="s">
        <v>636</v>
      </c>
      <c r="AZ43" s="36" t="s">
        <v>670</v>
      </c>
      <c r="BA43" s="27" t="s">
        <v>681</v>
      </c>
      <c r="BC43" s="35">
        <f>AW43+AX43</f>
        <v>0</v>
      </c>
      <c r="BD43" s="35">
        <f>G43/(100-BE43)*100</f>
        <v>0</v>
      </c>
      <c r="BE43" s="35">
        <v>0</v>
      </c>
      <c r="BF43" s="35">
        <f>M43</f>
        <v>2.0910000000000002E-2</v>
      </c>
      <c r="BH43" s="20">
        <f>F43*AO43</f>
        <v>0</v>
      </c>
      <c r="BI43" s="20">
        <f>F43*AP43</f>
        <v>0</v>
      </c>
      <c r="BJ43" s="20">
        <f>F43*G43</f>
        <v>0</v>
      </c>
    </row>
    <row r="44" spans="1:62" x14ac:dyDescent="0.25">
      <c r="C44" s="14" t="s">
        <v>151</v>
      </c>
      <c r="D44" s="141" t="s">
        <v>340</v>
      </c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62" x14ac:dyDescent="0.25">
      <c r="A45" s="4" t="s">
        <v>21</v>
      </c>
      <c r="B45" s="4"/>
      <c r="C45" s="4" t="s">
        <v>165</v>
      </c>
      <c r="D45" s="4" t="s">
        <v>341</v>
      </c>
      <c r="E45" s="4" t="s">
        <v>591</v>
      </c>
      <c r="F45" s="20">
        <v>51.66</v>
      </c>
      <c r="G45" s="88"/>
      <c r="H45" s="20">
        <f>F45*AO45</f>
        <v>0</v>
      </c>
      <c r="I45" s="20">
        <f>F45*AP45</f>
        <v>0</v>
      </c>
      <c r="J45" s="20">
        <f>F45*G45</f>
        <v>0</v>
      </c>
      <c r="K45" s="41">
        <f>IF(J305=0,0,J45/J305)</f>
        <v>0</v>
      </c>
      <c r="L45" s="20">
        <v>0.38236999999999999</v>
      </c>
      <c r="M45" s="20">
        <f>F45*L45</f>
        <v>19.753234199999998</v>
      </c>
      <c r="N45" s="31" t="s">
        <v>620</v>
      </c>
      <c r="Z45" s="35">
        <f>IF(AQ45="5",BJ45,0)</f>
        <v>0</v>
      </c>
      <c r="AB45" s="35">
        <f>IF(AQ45="1",BH45,0)</f>
        <v>0</v>
      </c>
      <c r="AC45" s="35">
        <f>IF(AQ45="1",BI45,0)</f>
        <v>0</v>
      </c>
      <c r="AD45" s="35">
        <f>IF(AQ45="7",BH45,0)</f>
        <v>0</v>
      </c>
      <c r="AE45" s="35">
        <f>IF(AQ45="7",BI45,0)</f>
        <v>0</v>
      </c>
      <c r="AF45" s="35">
        <f>IF(AQ45="2",BH45,0)</f>
        <v>0</v>
      </c>
      <c r="AG45" s="35">
        <f>IF(AQ45="2",BI45,0)</f>
        <v>0</v>
      </c>
      <c r="AH45" s="35">
        <f>IF(AQ45="0",BJ45,0)</f>
        <v>0</v>
      </c>
      <c r="AI45" s="27"/>
      <c r="AJ45" s="20">
        <f>IF(AN45=0,J45,0)</f>
        <v>0</v>
      </c>
      <c r="AK45" s="20">
        <f>IF(AN45=15,J45,0)</f>
        <v>0</v>
      </c>
      <c r="AL45" s="20">
        <f>IF(AN45=21,J45,0)</f>
        <v>0</v>
      </c>
      <c r="AN45" s="35">
        <v>21</v>
      </c>
      <c r="AO45" s="35">
        <f>G45*0.762176100628931</f>
        <v>0</v>
      </c>
      <c r="AP45" s="35">
        <f>G45*(1-0.762176100628931)</f>
        <v>0</v>
      </c>
      <c r="AQ45" s="31" t="s">
        <v>7</v>
      </c>
      <c r="AV45" s="35">
        <f>AW45+AX45</f>
        <v>0</v>
      </c>
      <c r="AW45" s="35">
        <f>F45*AO45</f>
        <v>0</v>
      </c>
      <c r="AX45" s="35">
        <f>F45*AP45</f>
        <v>0</v>
      </c>
      <c r="AY45" s="36" t="s">
        <v>636</v>
      </c>
      <c r="AZ45" s="36" t="s">
        <v>670</v>
      </c>
      <c r="BA45" s="27" t="s">
        <v>681</v>
      </c>
      <c r="BC45" s="35">
        <f>AW45+AX45</f>
        <v>0</v>
      </c>
      <c r="BD45" s="35">
        <f>G45/(100-BE45)*100</f>
        <v>0</v>
      </c>
      <c r="BE45" s="35">
        <v>0</v>
      </c>
      <c r="BF45" s="35">
        <f>M45</f>
        <v>19.753234199999998</v>
      </c>
      <c r="BH45" s="20">
        <f>F45*AO45</f>
        <v>0</v>
      </c>
      <c r="BI45" s="20">
        <f>F45*AP45</f>
        <v>0</v>
      </c>
      <c r="BJ45" s="20">
        <f>F45*G45</f>
        <v>0</v>
      </c>
    </row>
    <row r="46" spans="1:62" x14ac:dyDescent="0.25">
      <c r="C46" s="14" t="s">
        <v>151</v>
      </c>
      <c r="D46" s="141" t="s">
        <v>342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</row>
    <row r="47" spans="1:62" x14ac:dyDescent="0.25">
      <c r="A47" s="4" t="s">
        <v>22</v>
      </c>
      <c r="B47" s="4"/>
      <c r="C47" s="4" t="s">
        <v>166</v>
      </c>
      <c r="D47" s="4" t="s">
        <v>343</v>
      </c>
      <c r="E47" s="4" t="s">
        <v>593</v>
      </c>
      <c r="F47" s="20">
        <v>0.20100000000000001</v>
      </c>
      <c r="G47" s="88"/>
      <c r="H47" s="20">
        <f>F47*AO47</f>
        <v>0</v>
      </c>
      <c r="I47" s="20">
        <f>F47*AP47</f>
        <v>0</v>
      </c>
      <c r="J47" s="20">
        <f>F47*G47</f>
        <v>0</v>
      </c>
      <c r="K47" s="41">
        <f>IF(J305=0,0,J47/J305)</f>
        <v>0</v>
      </c>
      <c r="L47" s="20">
        <v>1.0970899999999999</v>
      </c>
      <c r="M47" s="20">
        <f>F47*L47</f>
        <v>0.22051509</v>
      </c>
      <c r="N47" s="31" t="s">
        <v>620</v>
      </c>
      <c r="Z47" s="35">
        <f>IF(AQ47="5",BJ47,0)</f>
        <v>0</v>
      </c>
      <c r="AB47" s="35">
        <f>IF(AQ47="1",BH47,0)</f>
        <v>0</v>
      </c>
      <c r="AC47" s="35">
        <f>IF(AQ47="1",BI47,0)</f>
        <v>0</v>
      </c>
      <c r="AD47" s="35">
        <f>IF(AQ47="7",BH47,0)</f>
        <v>0</v>
      </c>
      <c r="AE47" s="35">
        <f>IF(AQ47="7",BI47,0)</f>
        <v>0</v>
      </c>
      <c r="AF47" s="35">
        <f>IF(AQ47="2",BH47,0)</f>
        <v>0</v>
      </c>
      <c r="AG47" s="35">
        <f>IF(AQ47="2",BI47,0)</f>
        <v>0</v>
      </c>
      <c r="AH47" s="35">
        <f>IF(AQ47="0",BJ47,0)</f>
        <v>0</v>
      </c>
      <c r="AI47" s="27"/>
      <c r="AJ47" s="20">
        <f>IF(AN47=0,J47,0)</f>
        <v>0</v>
      </c>
      <c r="AK47" s="20">
        <f>IF(AN47=15,J47,0)</f>
        <v>0</v>
      </c>
      <c r="AL47" s="20">
        <f>IF(AN47=21,J47,0)</f>
        <v>0</v>
      </c>
      <c r="AN47" s="35">
        <v>21</v>
      </c>
      <c r="AO47" s="35">
        <f>G47*0.69803536977492</f>
        <v>0</v>
      </c>
      <c r="AP47" s="35">
        <f>G47*(1-0.69803536977492)</f>
        <v>0</v>
      </c>
      <c r="AQ47" s="31" t="s">
        <v>7</v>
      </c>
      <c r="AV47" s="35">
        <f>AW47+AX47</f>
        <v>0</v>
      </c>
      <c r="AW47" s="35">
        <f>F47*AO47</f>
        <v>0</v>
      </c>
      <c r="AX47" s="35">
        <f>F47*AP47</f>
        <v>0</v>
      </c>
      <c r="AY47" s="36" t="s">
        <v>636</v>
      </c>
      <c r="AZ47" s="36" t="s">
        <v>670</v>
      </c>
      <c r="BA47" s="27" t="s">
        <v>681</v>
      </c>
      <c r="BC47" s="35">
        <f>AW47+AX47</f>
        <v>0</v>
      </c>
      <c r="BD47" s="35">
        <f>G47/(100-BE47)*100</f>
        <v>0</v>
      </c>
      <c r="BE47" s="35">
        <v>0</v>
      </c>
      <c r="BF47" s="35">
        <f>M47</f>
        <v>0.22051509</v>
      </c>
      <c r="BH47" s="20">
        <f>F47*AO47</f>
        <v>0</v>
      </c>
      <c r="BI47" s="20">
        <f>F47*AP47</f>
        <v>0</v>
      </c>
      <c r="BJ47" s="20">
        <f>F47*G47</f>
        <v>0</v>
      </c>
    </row>
    <row r="48" spans="1:62" x14ac:dyDescent="0.25">
      <c r="C48" s="14" t="s">
        <v>151</v>
      </c>
      <c r="D48" s="141" t="s">
        <v>344</v>
      </c>
      <c r="E48" s="142"/>
      <c r="F48" s="142"/>
      <c r="G48" s="142"/>
      <c r="H48" s="142"/>
      <c r="I48" s="142"/>
      <c r="J48" s="142"/>
      <c r="K48" s="142"/>
      <c r="L48" s="142"/>
      <c r="M48" s="142"/>
      <c r="N48" s="142"/>
    </row>
    <row r="49" spans="1:62" x14ac:dyDescent="0.25">
      <c r="A49" s="4" t="s">
        <v>23</v>
      </c>
      <c r="B49" s="4"/>
      <c r="C49" s="4" t="s">
        <v>167</v>
      </c>
      <c r="D49" s="4" t="s">
        <v>345</v>
      </c>
      <c r="E49" s="4" t="s">
        <v>593</v>
      </c>
      <c r="F49" s="20">
        <v>0.28239999999999998</v>
      </c>
      <c r="G49" s="88"/>
      <c r="H49" s="20">
        <f>F49*AO49</f>
        <v>0</v>
      </c>
      <c r="I49" s="20">
        <f>F49*AP49</f>
        <v>0</v>
      </c>
      <c r="J49" s="20">
        <f>F49*G49</f>
        <v>0</v>
      </c>
      <c r="K49" s="41">
        <f>IF(J305=0,0,J49/J305)</f>
        <v>0</v>
      </c>
      <c r="L49" s="20">
        <v>1.0970899999999999</v>
      </c>
      <c r="M49" s="20">
        <f>F49*L49</f>
        <v>0.30981821599999998</v>
      </c>
      <c r="N49" s="31" t="s">
        <v>620</v>
      </c>
      <c r="Z49" s="35">
        <f>IF(AQ49="5",BJ49,0)</f>
        <v>0</v>
      </c>
      <c r="AB49" s="35">
        <f>IF(AQ49="1",BH49,0)</f>
        <v>0</v>
      </c>
      <c r="AC49" s="35">
        <f>IF(AQ49="1",BI49,0)</f>
        <v>0</v>
      </c>
      <c r="AD49" s="35">
        <f>IF(AQ49="7",BH49,0)</f>
        <v>0</v>
      </c>
      <c r="AE49" s="35">
        <f>IF(AQ49="7",BI49,0)</f>
        <v>0</v>
      </c>
      <c r="AF49" s="35">
        <f>IF(AQ49="2",BH49,0)</f>
        <v>0</v>
      </c>
      <c r="AG49" s="35">
        <f>IF(AQ49="2",BI49,0)</f>
        <v>0</v>
      </c>
      <c r="AH49" s="35">
        <f>IF(AQ49="0",BJ49,0)</f>
        <v>0</v>
      </c>
      <c r="AI49" s="27"/>
      <c r="AJ49" s="20">
        <f>IF(AN49=0,J49,0)</f>
        <v>0</v>
      </c>
      <c r="AK49" s="20">
        <f>IF(AN49=15,J49,0)</f>
        <v>0</v>
      </c>
      <c r="AL49" s="20">
        <f>IF(AN49=21,J49,0)</f>
        <v>0</v>
      </c>
      <c r="AN49" s="35">
        <v>21</v>
      </c>
      <c r="AO49" s="35">
        <f>G49*0.69803536977492</f>
        <v>0</v>
      </c>
      <c r="AP49" s="35">
        <f>G49*(1-0.69803536977492)</f>
        <v>0</v>
      </c>
      <c r="AQ49" s="31" t="s">
        <v>7</v>
      </c>
      <c r="AV49" s="35">
        <f>AW49+AX49</f>
        <v>0</v>
      </c>
      <c r="AW49" s="35">
        <f>F49*AO49</f>
        <v>0</v>
      </c>
      <c r="AX49" s="35">
        <f>F49*AP49</f>
        <v>0</v>
      </c>
      <c r="AY49" s="36" t="s">
        <v>636</v>
      </c>
      <c r="AZ49" s="36" t="s">
        <v>670</v>
      </c>
      <c r="BA49" s="27" t="s">
        <v>681</v>
      </c>
      <c r="BC49" s="35">
        <f>AW49+AX49</f>
        <v>0</v>
      </c>
      <c r="BD49" s="35">
        <f>G49/(100-BE49)*100</f>
        <v>0</v>
      </c>
      <c r="BE49" s="35">
        <v>0</v>
      </c>
      <c r="BF49" s="35">
        <f>M49</f>
        <v>0.30981821599999998</v>
      </c>
      <c r="BH49" s="20">
        <f>F49*AO49</f>
        <v>0</v>
      </c>
      <c r="BI49" s="20">
        <f>F49*AP49</f>
        <v>0</v>
      </c>
      <c r="BJ49" s="20">
        <f>F49*G49</f>
        <v>0</v>
      </c>
    </row>
    <row r="50" spans="1:62" x14ac:dyDescent="0.25">
      <c r="C50" s="14" t="s">
        <v>151</v>
      </c>
      <c r="D50" s="141" t="s">
        <v>346</v>
      </c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62" x14ac:dyDescent="0.25">
      <c r="A51" s="4" t="s">
        <v>24</v>
      </c>
      <c r="B51" s="4"/>
      <c r="C51" s="4" t="s">
        <v>168</v>
      </c>
      <c r="D51" s="4" t="s">
        <v>347</v>
      </c>
      <c r="E51" s="4" t="s">
        <v>591</v>
      </c>
      <c r="F51" s="20">
        <v>171.6</v>
      </c>
      <c r="G51" s="88"/>
      <c r="H51" s="20">
        <f>F51*AO51</f>
        <v>0</v>
      </c>
      <c r="I51" s="20">
        <f>F51*AP51</f>
        <v>0</v>
      </c>
      <c r="J51" s="20">
        <f>F51*G51</f>
        <v>0</v>
      </c>
      <c r="K51" s="41">
        <f>IF(J305=0,0,J51/J305)</f>
        <v>0</v>
      </c>
      <c r="L51" s="20">
        <v>0</v>
      </c>
      <c r="M51" s="20">
        <f>F51*L51</f>
        <v>0</v>
      </c>
      <c r="N51" s="31" t="s">
        <v>620</v>
      </c>
      <c r="Z51" s="35">
        <f>IF(AQ51="5",BJ51,0)</f>
        <v>0</v>
      </c>
      <c r="AB51" s="35">
        <f>IF(AQ51="1",BH51,0)</f>
        <v>0</v>
      </c>
      <c r="AC51" s="35">
        <f>IF(AQ51="1",BI51,0)</f>
        <v>0</v>
      </c>
      <c r="AD51" s="35">
        <f>IF(AQ51="7",BH51,0)</f>
        <v>0</v>
      </c>
      <c r="AE51" s="35">
        <f>IF(AQ51="7",BI51,0)</f>
        <v>0</v>
      </c>
      <c r="AF51" s="35">
        <f>IF(AQ51="2",BH51,0)</f>
        <v>0</v>
      </c>
      <c r="AG51" s="35">
        <f>IF(AQ51="2",BI51,0)</f>
        <v>0</v>
      </c>
      <c r="AH51" s="35">
        <f>IF(AQ51="0",BJ51,0)</f>
        <v>0</v>
      </c>
      <c r="AI51" s="27"/>
      <c r="AJ51" s="20">
        <f>IF(AN51=0,J51,0)</f>
        <v>0</v>
      </c>
      <c r="AK51" s="20">
        <f>IF(AN51=15,J51,0)</f>
        <v>0</v>
      </c>
      <c r="AL51" s="20">
        <f>IF(AN51=21,J51,0)</f>
        <v>0</v>
      </c>
      <c r="AN51" s="35">
        <v>21</v>
      </c>
      <c r="AO51" s="35">
        <f>G51*0.271625676322077</f>
        <v>0</v>
      </c>
      <c r="AP51" s="35">
        <f>G51*(1-0.271625676322077)</f>
        <v>0</v>
      </c>
      <c r="AQ51" s="31" t="s">
        <v>7</v>
      </c>
      <c r="AV51" s="35">
        <f>AW51+AX51</f>
        <v>0</v>
      </c>
      <c r="AW51" s="35">
        <f>F51*AO51</f>
        <v>0</v>
      </c>
      <c r="AX51" s="35">
        <f>F51*AP51</f>
        <v>0</v>
      </c>
      <c r="AY51" s="36" t="s">
        <v>636</v>
      </c>
      <c r="AZ51" s="36" t="s">
        <v>670</v>
      </c>
      <c r="BA51" s="27" t="s">
        <v>681</v>
      </c>
      <c r="BC51" s="35">
        <f>AW51+AX51</f>
        <v>0</v>
      </c>
      <c r="BD51" s="35">
        <f>G51/(100-BE51)*100</f>
        <v>0</v>
      </c>
      <c r="BE51" s="35">
        <v>0</v>
      </c>
      <c r="BF51" s="35">
        <f>M51</f>
        <v>0</v>
      </c>
      <c r="BH51" s="20">
        <f>F51*AO51</f>
        <v>0</v>
      </c>
      <c r="BI51" s="20">
        <f>F51*AP51</f>
        <v>0</v>
      </c>
      <c r="BJ51" s="20">
        <f>F51*G51</f>
        <v>0</v>
      </c>
    </row>
    <row r="52" spans="1:62" x14ac:dyDescent="0.25">
      <c r="D52" s="17" t="s">
        <v>348</v>
      </c>
    </row>
    <row r="53" spans="1:62" x14ac:dyDescent="0.25">
      <c r="C53" s="14" t="s">
        <v>151</v>
      </c>
      <c r="D53" s="141" t="s">
        <v>349</v>
      </c>
      <c r="E53" s="142"/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62" x14ac:dyDescent="0.25">
      <c r="A54" s="6" t="s">
        <v>25</v>
      </c>
      <c r="B54" s="6"/>
      <c r="C54" s="6" t="s">
        <v>169</v>
      </c>
      <c r="D54" s="6" t="s">
        <v>350</v>
      </c>
      <c r="E54" s="6" t="s">
        <v>591</v>
      </c>
      <c r="F54" s="21">
        <v>175.03200000000001</v>
      </c>
      <c r="G54" s="91"/>
      <c r="H54" s="21">
        <f>F54*AO54</f>
        <v>0</v>
      </c>
      <c r="I54" s="21">
        <f>F54*AP54</f>
        <v>0</v>
      </c>
      <c r="J54" s="21">
        <f>F54*G54</f>
        <v>0</v>
      </c>
      <c r="K54" s="43">
        <f>IF(J305=0,0,J54/J305)</f>
        <v>0</v>
      </c>
      <c r="L54" s="21">
        <v>1.2160000000000001E-2</v>
      </c>
      <c r="M54" s="21">
        <f>F54*L54</f>
        <v>2.1283891200000005</v>
      </c>
      <c r="N54" s="32" t="s">
        <v>620</v>
      </c>
      <c r="Z54" s="35">
        <f>IF(AQ54="5",BJ54,0)</f>
        <v>0</v>
      </c>
      <c r="AB54" s="35">
        <f>IF(AQ54="1",BH54,0)</f>
        <v>0</v>
      </c>
      <c r="AC54" s="35">
        <f>IF(AQ54="1",BI54,0)</f>
        <v>0</v>
      </c>
      <c r="AD54" s="35">
        <f>IF(AQ54="7",BH54,0)</f>
        <v>0</v>
      </c>
      <c r="AE54" s="35">
        <f>IF(AQ54="7",BI54,0)</f>
        <v>0</v>
      </c>
      <c r="AF54" s="35">
        <f>IF(AQ54="2",BH54,0)</f>
        <v>0</v>
      </c>
      <c r="AG54" s="35">
        <f>IF(AQ54="2",BI54,0)</f>
        <v>0</v>
      </c>
      <c r="AH54" s="35">
        <f>IF(AQ54="0",BJ54,0)</f>
        <v>0</v>
      </c>
      <c r="AI54" s="27"/>
      <c r="AJ54" s="21">
        <f>IF(AN54=0,J54,0)</f>
        <v>0</v>
      </c>
      <c r="AK54" s="21">
        <f>IF(AN54=15,J54,0)</f>
        <v>0</v>
      </c>
      <c r="AL54" s="21">
        <f>IF(AN54=21,J54,0)</f>
        <v>0</v>
      </c>
      <c r="AN54" s="35">
        <v>21</v>
      </c>
      <c r="AO54" s="35">
        <f>G54*1</f>
        <v>0</v>
      </c>
      <c r="AP54" s="35">
        <f>G54*(1-1)</f>
        <v>0</v>
      </c>
      <c r="AQ54" s="32" t="s">
        <v>7</v>
      </c>
      <c r="AV54" s="35">
        <f>AW54+AX54</f>
        <v>0</v>
      </c>
      <c r="AW54" s="35">
        <f>F54*AO54</f>
        <v>0</v>
      </c>
      <c r="AX54" s="35">
        <f>F54*AP54</f>
        <v>0</v>
      </c>
      <c r="AY54" s="36" t="s">
        <v>636</v>
      </c>
      <c r="AZ54" s="36" t="s">
        <v>670</v>
      </c>
      <c r="BA54" s="27" t="s">
        <v>681</v>
      </c>
      <c r="BC54" s="35">
        <f>AW54+AX54</f>
        <v>0</v>
      </c>
      <c r="BD54" s="35">
        <f>G54/(100-BE54)*100</f>
        <v>0</v>
      </c>
      <c r="BE54" s="35">
        <v>0</v>
      </c>
      <c r="BF54" s="35">
        <f>M54</f>
        <v>2.1283891200000005</v>
      </c>
      <c r="BH54" s="21">
        <f>F54*AO54</f>
        <v>0</v>
      </c>
      <c r="BI54" s="21">
        <f>F54*AP54</f>
        <v>0</v>
      </c>
      <c r="BJ54" s="21">
        <f>F54*G54</f>
        <v>0</v>
      </c>
    </row>
    <row r="55" spans="1:62" ht="25.65" customHeight="1" x14ac:dyDescent="0.25">
      <c r="C55" s="14" t="s">
        <v>151</v>
      </c>
      <c r="D55" s="141" t="s">
        <v>351</v>
      </c>
      <c r="E55" s="142"/>
      <c r="F55" s="142"/>
      <c r="G55" s="142"/>
      <c r="H55" s="142"/>
      <c r="I55" s="142"/>
      <c r="J55" s="142"/>
      <c r="K55" s="142"/>
      <c r="L55" s="142"/>
      <c r="M55" s="142"/>
      <c r="N55" s="142"/>
    </row>
    <row r="56" spans="1:62" x14ac:dyDescent="0.25">
      <c r="A56" s="5"/>
      <c r="B56" s="13"/>
      <c r="C56" s="13" t="s">
        <v>40</v>
      </c>
      <c r="D56" s="13" t="s">
        <v>352</v>
      </c>
      <c r="E56" s="5" t="s">
        <v>6</v>
      </c>
      <c r="F56" s="5" t="s">
        <v>6</v>
      </c>
      <c r="G56" s="90" t="s">
        <v>6</v>
      </c>
      <c r="H56" s="38">
        <f>SUM(H57:H60)</f>
        <v>0</v>
      </c>
      <c r="I56" s="38">
        <f>SUM(I57:I60)</f>
        <v>0</v>
      </c>
      <c r="J56" s="38">
        <f>SUM(J57:J60)</f>
        <v>0</v>
      </c>
      <c r="K56" s="42">
        <f>IF(J305=0,0,J56/J305)</f>
        <v>0</v>
      </c>
      <c r="L56" s="27"/>
      <c r="M56" s="38">
        <f>SUM(M57:M60)</f>
        <v>5.3716879999999998</v>
      </c>
      <c r="N56" s="27"/>
      <c r="AI56" s="27"/>
      <c r="AS56" s="38">
        <f>SUM(AJ57:AJ60)</f>
        <v>0</v>
      </c>
      <c r="AT56" s="38">
        <f>SUM(AK57:AK60)</f>
        <v>0</v>
      </c>
      <c r="AU56" s="38">
        <f>SUM(AL57:AL60)</f>
        <v>0</v>
      </c>
    </row>
    <row r="57" spans="1:62" x14ac:dyDescent="0.25">
      <c r="A57" s="4" t="s">
        <v>26</v>
      </c>
      <c r="B57" s="4"/>
      <c r="C57" s="4" t="s">
        <v>170</v>
      </c>
      <c r="D57" s="4" t="s">
        <v>353</v>
      </c>
      <c r="E57" s="4" t="s">
        <v>591</v>
      </c>
      <c r="F57" s="20">
        <v>15.12</v>
      </c>
      <c r="G57" s="88"/>
      <c r="H57" s="20">
        <f>F57*AO57</f>
        <v>0</v>
      </c>
      <c r="I57" s="20">
        <f>F57*AP57</f>
        <v>0</v>
      </c>
      <c r="J57" s="20">
        <f>F57*G57</f>
        <v>0</v>
      </c>
      <c r="K57" s="41">
        <f>IF(J305=0,0,J57/J305)</f>
        <v>0</v>
      </c>
      <c r="L57" s="20">
        <v>4.8099999999999997E-2</v>
      </c>
      <c r="M57" s="20">
        <f>F57*L57</f>
        <v>0.72727199999999992</v>
      </c>
      <c r="N57" s="31" t="s">
        <v>620</v>
      </c>
      <c r="Z57" s="35">
        <f>IF(AQ57="5",BJ57,0)</f>
        <v>0</v>
      </c>
      <c r="AB57" s="35">
        <f>IF(AQ57="1",BH57,0)</f>
        <v>0</v>
      </c>
      <c r="AC57" s="35">
        <f>IF(AQ57="1",BI57,0)</f>
        <v>0</v>
      </c>
      <c r="AD57" s="35">
        <f>IF(AQ57="7",BH57,0)</f>
        <v>0</v>
      </c>
      <c r="AE57" s="35">
        <f>IF(AQ57="7",BI57,0)</f>
        <v>0</v>
      </c>
      <c r="AF57" s="35">
        <f>IF(AQ57="2",BH57,0)</f>
        <v>0</v>
      </c>
      <c r="AG57" s="35">
        <f>IF(AQ57="2",BI57,0)</f>
        <v>0</v>
      </c>
      <c r="AH57" s="35">
        <f>IF(AQ57="0",BJ57,0)</f>
        <v>0</v>
      </c>
      <c r="AI57" s="27"/>
      <c r="AJ57" s="20">
        <f>IF(AN57=0,J57,0)</f>
        <v>0</v>
      </c>
      <c r="AK57" s="20">
        <f>IF(AN57=15,J57,0)</f>
        <v>0</v>
      </c>
      <c r="AL57" s="20">
        <f>IF(AN57=21,J57,0)</f>
        <v>0</v>
      </c>
      <c r="AN57" s="35">
        <v>21</v>
      </c>
      <c r="AO57" s="35">
        <f>G57*0.517293680297398</f>
        <v>0</v>
      </c>
      <c r="AP57" s="35">
        <f>G57*(1-0.517293680297398)</f>
        <v>0</v>
      </c>
      <c r="AQ57" s="31" t="s">
        <v>7</v>
      </c>
      <c r="AV57" s="35">
        <f>AW57+AX57</f>
        <v>0</v>
      </c>
      <c r="AW57" s="35">
        <f>F57*AO57</f>
        <v>0</v>
      </c>
      <c r="AX57" s="35">
        <f>F57*AP57</f>
        <v>0</v>
      </c>
      <c r="AY57" s="36" t="s">
        <v>637</v>
      </c>
      <c r="AZ57" s="36" t="s">
        <v>670</v>
      </c>
      <c r="BA57" s="27" t="s">
        <v>681</v>
      </c>
      <c r="BC57" s="35">
        <f>AW57+AX57</f>
        <v>0</v>
      </c>
      <c r="BD57" s="35">
        <f>G57/(100-BE57)*100</f>
        <v>0</v>
      </c>
      <c r="BE57" s="35">
        <v>0</v>
      </c>
      <c r="BF57" s="35">
        <f>M57</f>
        <v>0.72727199999999992</v>
      </c>
      <c r="BH57" s="20">
        <f>F57*AO57</f>
        <v>0</v>
      </c>
      <c r="BI57" s="20">
        <f>F57*AP57</f>
        <v>0</v>
      </c>
      <c r="BJ57" s="20">
        <f>F57*G57</f>
        <v>0</v>
      </c>
    </row>
    <row r="58" spans="1:62" x14ac:dyDescent="0.25">
      <c r="D58" s="17" t="s">
        <v>354</v>
      </c>
    </row>
    <row r="59" spans="1:62" x14ac:dyDescent="0.25">
      <c r="C59" s="14" t="s">
        <v>151</v>
      </c>
      <c r="D59" s="141" t="s">
        <v>355</v>
      </c>
      <c r="E59" s="142"/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62" x14ac:dyDescent="0.25">
      <c r="A60" s="4" t="s">
        <v>27</v>
      </c>
      <c r="B60" s="4"/>
      <c r="C60" s="4" t="s">
        <v>171</v>
      </c>
      <c r="D60" s="4" t="s">
        <v>356</v>
      </c>
      <c r="E60" s="4" t="s">
        <v>591</v>
      </c>
      <c r="F60" s="20">
        <v>29.62</v>
      </c>
      <c r="G60" s="88"/>
      <c r="H60" s="20">
        <f>F60*AO60</f>
        <v>0</v>
      </c>
      <c r="I60" s="20">
        <f>F60*AP60</f>
        <v>0</v>
      </c>
      <c r="J60" s="20">
        <f>F60*G60</f>
        <v>0</v>
      </c>
      <c r="K60" s="41">
        <f>IF(J305=0,0,J60/J305)</f>
        <v>0</v>
      </c>
      <c r="L60" s="20">
        <v>0.15679999999999999</v>
      </c>
      <c r="M60" s="20">
        <f>F60*L60</f>
        <v>4.6444159999999997</v>
      </c>
      <c r="N60" s="31" t="s">
        <v>620</v>
      </c>
      <c r="Z60" s="35">
        <f>IF(AQ60="5",BJ60,0)</f>
        <v>0</v>
      </c>
      <c r="AB60" s="35">
        <f>IF(AQ60="1",BH60,0)</f>
        <v>0</v>
      </c>
      <c r="AC60" s="35">
        <f>IF(AQ60="1",BI60,0)</f>
        <v>0</v>
      </c>
      <c r="AD60" s="35">
        <f>IF(AQ60="7",BH60,0)</f>
        <v>0</v>
      </c>
      <c r="AE60" s="35">
        <f>IF(AQ60="7",BI60,0)</f>
        <v>0</v>
      </c>
      <c r="AF60" s="35">
        <f>IF(AQ60="2",BH60,0)</f>
        <v>0</v>
      </c>
      <c r="AG60" s="35">
        <f>IF(AQ60="2",BI60,0)</f>
        <v>0</v>
      </c>
      <c r="AH60" s="35">
        <f>IF(AQ60="0",BJ60,0)</f>
        <v>0</v>
      </c>
      <c r="AI60" s="27"/>
      <c r="AJ60" s="20">
        <f>IF(AN60=0,J60,0)</f>
        <v>0</v>
      </c>
      <c r="AK60" s="20">
        <f>IF(AN60=15,J60,0)</f>
        <v>0</v>
      </c>
      <c r="AL60" s="20">
        <f>IF(AN60=21,J60,0)</f>
        <v>0</v>
      </c>
      <c r="AN60" s="35">
        <v>21</v>
      </c>
      <c r="AO60" s="35">
        <f>G60*0.401380090497738</f>
        <v>0</v>
      </c>
      <c r="AP60" s="35">
        <f>G60*(1-0.401380090497738)</f>
        <v>0</v>
      </c>
      <c r="AQ60" s="31" t="s">
        <v>7</v>
      </c>
      <c r="AV60" s="35">
        <f>AW60+AX60</f>
        <v>0</v>
      </c>
      <c r="AW60" s="35">
        <f>F60*AO60</f>
        <v>0</v>
      </c>
      <c r="AX60" s="35">
        <f>F60*AP60</f>
        <v>0</v>
      </c>
      <c r="AY60" s="36" t="s">
        <v>637</v>
      </c>
      <c r="AZ60" s="36" t="s">
        <v>670</v>
      </c>
      <c r="BA60" s="27" t="s">
        <v>681</v>
      </c>
      <c r="BC60" s="35">
        <f>AW60+AX60</f>
        <v>0</v>
      </c>
      <c r="BD60" s="35">
        <f>G60/(100-BE60)*100</f>
        <v>0</v>
      </c>
      <c r="BE60" s="35">
        <v>0</v>
      </c>
      <c r="BF60" s="35">
        <f>M60</f>
        <v>4.6444159999999997</v>
      </c>
      <c r="BH60" s="20">
        <f>F60*AO60</f>
        <v>0</v>
      </c>
      <c r="BI60" s="20">
        <f>F60*AP60</f>
        <v>0</v>
      </c>
      <c r="BJ60" s="20">
        <f>F60*G60</f>
        <v>0</v>
      </c>
    </row>
    <row r="61" spans="1:62" x14ac:dyDescent="0.25">
      <c r="D61" s="17" t="s">
        <v>357</v>
      </c>
    </row>
    <row r="62" spans="1:62" x14ac:dyDescent="0.25">
      <c r="C62" s="14" t="s">
        <v>151</v>
      </c>
      <c r="D62" s="141" t="s">
        <v>358</v>
      </c>
      <c r="E62" s="142"/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62" x14ac:dyDescent="0.25">
      <c r="A63" s="5"/>
      <c r="B63" s="13"/>
      <c r="C63" s="13" t="s">
        <v>44</v>
      </c>
      <c r="D63" s="13" t="s">
        <v>359</v>
      </c>
      <c r="E63" s="5" t="s">
        <v>6</v>
      </c>
      <c r="F63" s="5" t="s">
        <v>6</v>
      </c>
      <c r="G63" s="90" t="s">
        <v>6</v>
      </c>
      <c r="H63" s="38">
        <f>SUM(H64:H70)</f>
        <v>0</v>
      </c>
      <c r="I63" s="38">
        <f>SUM(I64:I70)</f>
        <v>0</v>
      </c>
      <c r="J63" s="38">
        <f>SUM(J64:J70)</f>
        <v>0</v>
      </c>
      <c r="K63" s="42">
        <f>IF(J305=0,0,J63/J305)</f>
        <v>0</v>
      </c>
      <c r="L63" s="27"/>
      <c r="M63" s="38">
        <f>SUM(M64:M70)</f>
        <v>38.609610000000004</v>
      </c>
      <c r="N63" s="27"/>
      <c r="AI63" s="27"/>
      <c r="AS63" s="38">
        <f>SUM(AJ64:AJ70)</f>
        <v>0</v>
      </c>
      <c r="AT63" s="38">
        <f>SUM(AK64:AK70)</f>
        <v>0</v>
      </c>
      <c r="AU63" s="38">
        <f>SUM(AL64:AL70)</f>
        <v>0</v>
      </c>
    </row>
    <row r="64" spans="1:62" x14ac:dyDescent="0.25">
      <c r="A64" s="4" t="s">
        <v>28</v>
      </c>
      <c r="B64" s="4"/>
      <c r="C64" s="4" t="s">
        <v>172</v>
      </c>
      <c r="D64" s="4" t="s">
        <v>360</v>
      </c>
      <c r="E64" s="4" t="s">
        <v>595</v>
      </c>
      <c r="F64" s="20">
        <v>20906.349999999999</v>
      </c>
      <c r="G64" s="88"/>
      <c r="H64" s="20">
        <f>F64*AO64</f>
        <v>0</v>
      </c>
      <c r="I64" s="20">
        <f>F64*AP64</f>
        <v>0</v>
      </c>
      <c r="J64" s="20">
        <f>F64*G64</f>
        <v>0</v>
      </c>
      <c r="K64" s="41">
        <f>IF(J305=0,0,J64/J305)</f>
        <v>0</v>
      </c>
      <c r="L64" s="20">
        <v>1E-3</v>
      </c>
      <c r="M64" s="20">
        <f>F64*L64</f>
        <v>20.90635</v>
      </c>
      <c r="N64" s="31" t="s">
        <v>620</v>
      </c>
      <c r="Z64" s="35">
        <f>IF(AQ64="5",BJ64,0)</f>
        <v>0</v>
      </c>
      <c r="AB64" s="35">
        <f>IF(AQ64="1",BH64,0)</f>
        <v>0</v>
      </c>
      <c r="AC64" s="35">
        <f>IF(AQ64="1",BI64,0)</f>
        <v>0</v>
      </c>
      <c r="AD64" s="35">
        <f>IF(AQ64="7",BH64,0)</f>
        <v>0</v>
      </c>
      <c r="AE64" s="35">
        <f>IF(AQ64="7",BI64,0)</f>
        <v>0</v>
      </c>
      <c r="AF64" s="35">
        <f>IF(AQ64="2",BH64,0)</f>
        <v>0</v>
      </c>
      <c r="AG64" s="35">
        <f>IF(AQ64="2",BI64,0)</f>
        <v>0</v>
      </c>
      <c r="AH64" s="35">
        <f>IF(AQ64="0",BJ64,0)</f>
        <v>0</v>
      </c>
      <c r="AI64" s="27"/>
      <c r="AJ64" s="20">
        <f>IF(AN64=0,J64,0)</f>
        <v>0</v>
      </c>
      <c r="AK64" s="20">
        <f>IF(AN64=15,J64,0)</f>
        <v>0</v>
      </c>
      <c r="AL64" s="20">
        <f>IF(AN64=21,J64,0)</f>
        <v>0</v>
      </c>
      <c r="AN64" s="35">
        <v>21</v>
      </c>
      <c r="AO64" s="35">
        <f>G64*0.565052632457044</f>
        <v>0</v>
      </c>
      <c r="AP64" s="35">
        <f>G64*(1-0.565052632457044)</f>
        <v>0</v>
      </c>
      <c r="AQ64" s="31" t="s">
        <v>7</v>
      </c>
      <c r="AV64" s="35">
        <f>AW64+AX64</f>
        <v>0</v>
      </c>
      <c r="AW64" s="35">
        <f>F64*AO64</f>
        <v>0</v>
      </c>
      <c r="AX64" s="35">
        <f>F64*AP64</f>
        <v>0</v>
      </c>
      <c r="AY64" s="36" t="s">
        <v>638</v>
      </c>
      <c r="AZ64" s="36" t="s">
        <v>670</v>
      </c>
      <c r="BA64" s="27" t="s">
        <v>681</v>
      </c>
      <c r="BC64" s="35">
        <f>AW64+AX64</f>
        <v>0</v>
      </c>
      <c r="BD64" s="35">
        <f>G64/(100-BE64)*100</f>
        <v>0</v>
      </c>
      <c r="BE64" s="35">
        <v>0</v>
      </c>
      <c r="BF64" s="35">
        <f>M64</f>
        <v>20.90635</v>
      </c>
      <c r="BH64" s="20">
        <f>F64*AO64</f>
        <v>0</v>
      </c>
      <c r="BI64" s="20">
        <f>F64*AP64</f>
        <v>0</v>
      </c>
      <c r="BJ64" s="20">
        <f>F64*G64</f>
        <v>0</v>
      </c>
    </row>
    <row r="65" spans="1:62" ht="39.6" x14ac:dyDescent="0.25">
      <c r="D65" s="17" t="s">
        <v>361</v>
      </c>
    </row>
    <row r="66" spans="1:62" x14ac:dyDescent="0.25">
      <c r="A66" s="4" t="s">
        <v>29</v>
      </c>
      <c r="B66" s="4"/>
      <c r="C66" s="4" t="s">
        <v>173</v>
      </c>
      <c r="D66" s="4" t="s">
        <v>362</v>
      </c>
      <c r="E66" s="4" t="s">
        <v>596</v>
      </c>
      <c r="F66" s="20">
        <v>1</v>
      </c>
      <c r="G66" s="88"/>
      <c r="H66" s="20">
        <f>F66*AO66</f>
        <v>0</v>
      </c>
      <c r="I66" s="20">
        <f>F66*AP66</f>
        <v>0</v>
      </c>
      <c r="J66" s="20">
        <f>F66*G66</f>
        <v>0</v>
      </c>
      <c r="K66" s="41">
        <f>IF(J305=0,0,J66/J305)</f>
        <v>0</v>
      </c>
      <c r="L66" s="20">
        <v>1E-3</v>
      </c>
      <c r="M66" s="20">
        <f>F66*L66</f>
        <v>1E-3</v>
      </c>
      <c r="N66" s="31" t="s">
        <v>620</v>
      </c>
      <c r="Z66" s="35">
        <f>IF(AQ66="5",BJ66,0)</f>
        <v>0</v>
      </c>
      <c r="AB66" s="35">
        <f>IF(AQ66="1",BH66,0)</f>
        <v>0</v>
      </c>
      <c r="AC66" s="35">
        <f>IF(AQ66="1",BI66,0)</f>
        <v>0</v>
      </c>
      <c r="AD66" s="35">
        <f>IF(AQ66="7",BH66,0)</f>
        <v>0</v>
      </c>
      <c r="AE66" s="35">
        <f>IF(AQ66="7",BI66,0)</f>
        <v>0</v>
      </c>
      <c r="AF66" s="35">
        <f>IF(AQ66="2",BH66,0)</f>
        <v>0</v>
      </c>
      <c r="AG66" s="35">
        <f>IF(AQ66="2",BI66,0)</f>
        <v>0</v>
      </c>
      <c r="AH66" s="35">
        <f>IF(AQ66="0",BJ66,0)</f>
        <v>0</v>
      </c>
      <c r="AI66" s="27"/>
      <c r="AJ66" s="20">
        <f>IF(AN66=0,J66,0)</f>
        <v>0</v>
      </c>
      <c r="AK66" s="20">
        <f>IF(AN66=15,J66,0)</f>
        <v>0</v>
      </c>
      <c r="AL66" s="20">
        <f>IF(AN66=21,J66,0)</f>
        <v>0</v>
      </c>
      <c r="AN66" s="35">
        <v>21</v>
      </c>
      <c r="AO66" s="35">
        <f>G66*0.994444444444444</f>
        <v>0</v>
      </c>
      <c r="AP66" s="35">
        <f>G66*(1-0.994444444444444)</f>
        <v>0</v>
      </c>
      <c r="AQ66" s="31" t="s">
        <v>7</v>
      </c>
      <c r="AV66" s="35">
        <f>AW66+AX66</f>
        <v>0</v>
      </c>
      <c r="AW66" s="35">
        <f>F66*AO66</f>
        <v>0</v>
      </c>
      <c r="AX66" s="35">
        <f>F66*AP66</f>
        <v>0</v>
      </c>
      <c r="AY66" s="36" t="s">
        <v>638</v>
      </c>
      <c r="AZ66" s="36" t="s">
        <v>670</v>
      </c>
      <c r="BA66" s="27" t="s">
        <v>681</v>
      </c>
      <c r="BC66" s="35">
        <f>AW66+AX66</f>
        <v>0</v>
      </c>
      <c r="BD66" s="35">
        <f>G66/(100-BE66)*100</f>
        <v>0</v>
      </c>
      <c r="BE66" s="35">
        <v>0</v>
      </c>
      <c r="BF66" s="35">
        <f>M66</f>
        <v>1E-3</v>
      </c>
      <c r="BH66" s="20">
        <f>F66*AO66</f>
        <v>0</v>
      </c>
      <c r="BI66" s="20">
        <f>F66*AP66</f>
        <v>0</v>
      </c>
      <c r="BJ66" s="20">
        <f>F66*G66</f>
        <v>0</v>
      </c>
    </row>
    <row r="67" spans="1:62" ht="26.4" x14ac:dyDescent="0.25">
      <c r="D67" s="17" t="s">
        <v>363</v>
      </c>
    </row>
    <row r="68" spans="1:62" x14ac:dyDescent="0.25">
      <c r="A68" s="4" t="s">
        <v>30</v>
      </c>
      <c r="B68" s="4"/>
      <c r="C68" s="4" t="s">
        <v>174</v>
      </c>
      <c r="D68" s="4" t="s">
        <v>364</v>
      </c>
      <c r="E68" s="4" t="s">
        <v>596</v>
      </c>
      <c r="F68" s="20">
        <v>1</v>
      </c>
      <c r="G68" s="88"/>
      <c r="H68" s="20">
        <f>F68*AO68</f>
        <v>0</v>
      </c>
      <c r="I68" s="20">
        <f>F68*AP68</f>
        <v>0</v>
      </c>
      <c r="J68" s="20">
        <f>F68*G68</f>
        <v>0</v>
      </c>
      <c r="K68" s="41">
        <f>IF(J305=0,0,J68/J305)</f>
        <v>0</v>
      </c>
      <c r="L68" s="20">
        <v>1E-3</v>
      </c>
      <c r="M68" s="20">
        <f>F68*L68</f>
        <v>1E-3</v>
      </c>
      <c r="N68" s="31" t="s">
        <v>620</v>
      </c>
      <c r="Z68" s="35">
        <f>IF(AQ68="5",BJ68,0)</f>
        <v>0</v>
      </c>
      <c r="AB68" s="35">
        <f>IF(AQ68="1",BH68,0)</f>
        <v>0</v>
      </c>
      <c r="AC68" s="35">
        <f>IF(AQ68="1",BI68,0)</f>
        <v>0</v>
      </c>
      <c r="AD68" s="35">
        <f>IF(AQ68="7",BH68,0)</f>
        <v>0</v>
      </c>
      <c r="AE68" s="35">
        <f>IF(AQ68="7",BI68,0)</f>
        <v>0</v>
      </c>
      <c r="AF68" s="35">
        <f>IF(AQ68="2",BH68,0)</f>
        <v>0</v>
      </c>
      <c r="AG68" s="35">
        <f>IF(AQ68="2",BI68,0)</f>
        <v>0</v>
      </c>
      <c r="AH68" s="35">
        <f>IF(AQ68="0",BJ68,0)</f>
        <v>0</v>
      </c>
      <c r="AI68" s="27"/>
      <c r="AJ68" s="20">
        <f>IF(AN68=0,J68,0)</f>
        <v>0</v>
      </c>
      <c r="AK68" s="20">
        <f>IF(AN68=15,J68,0)</f>
        <v>0</v>
      </c>
      <c r="AL68" s="20">
        <f>IF(AN68=21,J68,0)</f>
        <v>0</v>
      </c>
      <c r="AN68" s="35">
        <v>21</v>
      </c>
      <c r="AO68" s="35">
        <f>G68*0.992857142857143</f>
        <v>0</v>
      </c>
      <c r="AP68" s="35">
        <f>G68*(1-0.992857142857143)</f>
        <v>0</v>
      </c>
      <c r="AQ68" s="31" t="s">
        <v>7</v>
      </c>
      <c r="AV68" s="35">
        <f>AW68+AX68</f>
        <v>0</v>
      </c>
      <c r="AW68" s="35">
        <f>F68*AO68</f>
        <v>0</v>
      </c>
      <c r="AX68" s="35">
        <f>F68*AP68</f>
        <v>0</v>
      </c>
      <c r="AY68" s="36" t="s">
        <v>638</v>
      </c>
      <c r="AZ68" s="36" t="s">
        <v>670</v>
      </c>
      <c r="BA68" s="27" t="s">
        <v>681</v>
      </c>
      <c r="BC68" s="35">
        <f>AW68+AX68</f>
        <v>0</v>
      </c>
      <c r="BD68" s="35">
        <f>G68/(100-BE68)*100</f>
        <v>0</v>
      </c>
      <c r="BE68" s="35">
        <v>0</v>
      </c>
      <c r="BF68" s="35">
        <f>M68</f>
        <v>1E-3</v>
      </c>
      <c r="BH68" s="20">
        <f>F68*AO68</f>
        <v>0</v>
      </c>
      <c r="BI68" s="20">
        <f>F68*AP68</f>
        <v>0</v>
      </c>
      <c r="BJ68" s="20">
        <f>F68*G68</f>
        <v>0</v>
      </c>
    </row>
    <row r="69" spans="1:62" x14ac:dyDescent="0.25">
      <c r="D69" s="17" t="s">
        <v>365</v>
      </c>
    </row>
    <row r="70" spans="1:62" x14ac:dyDescent="0.25">
      <c r="A70" s="4" t="s">
        <v>31</v>
      </c>
      <c r="B70" s="4"/>
      <c r="C70" s="4" t="s">
        <v>172</v>
      </c>
      <c r="D70" s="4" t="s">
        <v>366</v>
      </c>
      <c r="E70" s="4" t="s">
        <v>595</v>
      </c>
      <c r="F70" s="20">
        <v>17701.259999999998</v>
      </c>
      <c r="G70" s="88"/>
      <c r="H70" s="20">
        <f>F70*AO70</f>
        <v>0</v>
      </c>
      <c r="I70" s="20">
        <f>F70*AP70</f>
        <v>0</v>
      </c>
      <c r="J70" s="20">
        <f>F70*G70</f>
        <v>0</v>
      </c>
      <c r="K70" s="41">
        <f>IF(J305=0,0,J70/J305)</f>
        <v>0</v>
      </c>
      <c r="L70" s="20">
        <v>1E-3</v>
      </c>
      <c r="M70" s="20">
        <f>F70*L70</f>
        <v>17.701259999999998</v>
      </c>
      <c r="N70" s="31" t="s">
        <v>620</v>
      </c>
      <c r="Z70" s="35">
        <f>IF(AQ70="5",BJ70,0)</f>
        <v>0</v>
      </c>
      <c r="AB70" s="35">
        <f>IF(AQ70="1",BH70,0)</f>
        <v>0</v>
      </c>
      <c r="AC70" s="35">
        <f>IF(AQ70="1",BI70,0)</f>
        <v>0</v>
      </c>
      <c r="AD70" s="35">
        <f>IF(AQ70="7",BH70,0)</f>
        <v>0</v>
      </c>
      <c r="AE70" s="35">
        <f>IF(AQ70="7",BI70,0)</f>
        <v>0</v>
      </c>
      <c r="AF70" s="35">
        <f>IF(AQ70="2",BH70,0)</f>
        <v>0</v>
      </c>
      <c r="AG70" s="35">
        <f>IF(AQ70="2",BI70,0)</f>
        <v>0</v>
      </c>
      <c r="AH70" s="35">
        <f>IF(AQ70="0",BJ70,0)</f>
        <v>0</v>
      </c>
      <c r="AI70" s="27"/>
      <c r="AJ70" s="20">
        <f>IF(AN70=0,J70,0)</f>
        <v>0</v>
      </c>
      <c r="AK70" s="20">
        <f>IF(AN70=15,J70,0)</f>
        <v>0</v>
      </c>
      <c r="AL70" s="20">
        <f>IF(AN70=21,J70,0)</f>
        <v>0</v>
      </c>
      <c r="AN70" s="35">
        <v>21</v>
      </c>
      <c r="AO70" s="35">
        <f>G70*0.56505263033444</f>
        <v>0</v>
      </c>
      <c r="AP70" s="35">
        <f>G70*(1-0.56505263033444)</f>
        <v>0</v>
      </c>
      <c r="AQ70" s="31" t="s">
        <v>7</v>
      </c>
      <c r="AV70" s="35">
        <f>AW70+AX70</f>
        <v>0</v>
      </c>
      <c r="AW70" s="35">
        <f>F70*AO70</f>
        <v>0</v>
      </c>
      <c r="AX70" s="35">
        <f>F70*AP70</f>
        <v>0</v>
      </c>
      <c r="AY70" s="36" t="s">
        <v>638</v>
      </c>
      <c r="AZ70" s="36" t="s">
        <v>670</v>
      </c>
      <c r="BA70" s="27" t="s">
        <v>681</v>
      </c>
      <c r="BC70" s="35">
        <f>AW70+AX70</f>
        <v>0</v>
      </c>
      <c r="BD70" s="35">
        <f>G70/(100-BE70)*100</f>
        <v>0</v>
      </c>
      <c r="BE70" s="35">
        <v>0</v>
      </c>
      <c r="BF70" s="35">
        <f>M70</f>
        <v>17.701259999999998</v>
      </c>
      <c r="BH70" s="20">
        <f>F70*AO70</f>
        <v>0</v>
      </c>
      <c r="BI70" s="20">
        <f>F70*AP70</f>
        <v>0</v>
      </c>
      <c r="BJ70" s="20">
        <f>F70*G70</f>
        <v>0</v>
      </c>
    </row>
    <row r="71" spans="1:62" ht="39.6" x14ac:dyDescent="0.25">
      <c r="D71" s="17" t="s">
        <v>367</v>
      </c>
    </row>
    <row r="72" spans="1:62" x14ac:dyDescent="0.25">
      <c r="A72" s="5"/>
      <c r="B72" s="13"/>
      <c r="C72" s="13" t="s">
        <v>47</v>
      </c>
      <c r="D72" s="13" t="s">
        <v>368</v>
      </c>
      <c r="E72" s="5" t="s">
        <v>6</v>
      </c>
      <c r="F72" s="5" t="s">
        <v>6</v>
      </c>
      <c r="G72" s="90" t="s">
        <v>6</v>
      </c>
      <c r="H72" s="38">
        <f>SUM(H73:H84)</f>
        <v>0</v>
      </c>
      <c r="I72" s="38">
        <f>SUM(I73:I84)</f>
        <v>0</v>
      </c>
      <c r="J72" s="38">
        <f>SUM(J73:J84)</f>
        <v>0</v>
      </c>
      <c r="K72" s="42">
        <f>IF(J305=0,0,J72/J305)</f>
        <v>0</v>
      </c>
      <c r="L72" s="27"/>
      <c r="M72" s="38">
        <f>SUM(M73:M84)</f>
        <v>12.080856236200001</v>
      </c>
      <c r="N72" s="27"/>
      <c r="AI72" s="27"/>
      <c r="AS72" s="38">
        <f>SUM(AJ73:AJ84)</f>
        <v>0</v>
      </c>
      <c r="AT72" s="38">
        <f>SUM(AK73:AK84)</f>
        <v>0</v>
      </c>
      <c r="AU72" s="38">
        <f>SUM(AL73:AL84)</f>
        <v>0</v>
      </c>
    </row>
    <row r="73" spans="1:62" x14ac:dyDescent="0.25">
      <c r="A73" s="4" t="s">
        <v>32</v>
      </c>
      <c r="B73" s="4"/>
      <c r="C73" s="4" t="s">
        <v>175</v>
      </c>
      <c r="D73" s="4" t="s">
        <v>369</v>
      </c>
      <c r="E73" s="4" t="s">
        <v>591</v>
      </c>
      <c r="F73" s="20">
        <v>46.625</v>
      </c>
      <c r="G73" s="88"/>
      <c r="H73" s="20">
        <f>F73*AO73</f>
        <v>0</v>
      </c>
      <c r="I73" s="20">
        <f>F73*AP73</f>
        <v>0</v>
      </c>
      <c r="J73" s="20">
        <f>F73*G73</f>
        <v>0</v>
      </c>
      <c r="K73" s="41">
        <f>IF(J305=0,0,J73/J305)</f>
        <v>0</v>
      </c>
      <c r="L73" s="20">
        <v>1.9650000000000001E-2</v>
      </c>
      <c r="M73" s="20">
        <f>F73*L73</f>
        <v>0.91618125000000006</v>
      </c>
      <c r="N73" s="31" t="s">
        <v>620</v>
      </c>
      <c r="Z73" s="35">
        <f>IF(AQ73="5",BJ73,0)</f>
        <v>0</v>
      </c>
      <c r="AB73" s="35">
        <f>IF(AQ73="1",BH73,0)</f>
        <v>0</v>
      </c>
      <c r="AC73" s="35">
        <f>IF(AQ73="1",BI73,0)</f>
        <v>0</v>
      </c>
      <c r="AD73" s="35">
        <f>IF(AQ73="7",BH73,0)</f>
        <v>0</v>
      </c>
      <c r="AE73" s="35">
        <f>IF(AQ73="7",BI73,0)</f>
        <v>0</v>
      </c>
      <c r="AF73" s="35">
        <f>IF(AQ73="2",BH73,0)</f>
        <v>0</v>
      </c>
      <c r="AG73" s="35">
        <f>IF(AQ73="2",BI73,0)</f>
        <v>0</v>
      </c>
      <c r="AH73" s="35">
        <f>IF(AQ73="0",BJ73,0)</f>
        <v>0</v>
      </c>
      <c r="AI73" s="27"/>
      <c r="AJ73" s="20">
        <f>IF(AN73=0,J73,0)</f>
        <v>0</v>
      </c>
      <c r="AK73" s="20">
        <f>IF(AN73=15,J73,0)</f>
        <v>0</v>
      </c>
      <c r="AL73" s="20">
        <f>IF(AN73=21,J73,0)</f>
        <v>0</v>
      </c>
      <c r="AN73" s="35">
        <v>21</v>
      </c>
      <c r="AO73" s="35">
        <f>G73*0.897504588697554</f>
        <v>0</v>
      </c>
      <c r="AP73" s="35">
        <f>G73*(1-0.897504588697554)</f>
        <v>0</v>
      </c>
      <c r="AQ73" s="31" t="s">
        <v>7</v>
      </c>
      <c r="AV73" s="35">
        <f>AW73+AX73</f>
        <v>0</v>
      </c>
      <c r="AW73" s="35">
        <f>F73*AO73</f>
        <v>0</v>
      </c>
      <c r="AX73" s="35">
        <f>F73*AP73</f>
        <v>0</v>
      </c>
      <c r="AY73" s="36" t="s">
        <v>639</v>
      </c>
      <c r="AZ73" s="36" t="s">
        <v>671</v>
      </c>
      <c r="BA73" s="27" t="s">
        <v>681</v>
      </c>
      <c r="BC73" s="35">
        <f>AW73+AX73</f>
        <v>0</v>
      </c>
      <c r="BD73" s="35">
        <f>G73/(100-BE73)*100</f>
        <v>0</v>
      </c>
      <c r="BE73" s="35">
        <v>0</v>
      </c>
      <c r="BF73" s="35">
        <f>M73</f>
        <v>0.91618125000000006</v>
      </c>
      <c r="BH73" s="20">
        <f>F73*AO73</f>
        <v>0</v>
      </c>
      <c r="BI73" s="20">
        <f>F73*AP73</f>
        <v>0</v>
      </c>
      <c r="BJ73" s="20">
        <f>F73*G73</f>
        <v>0</v>
      </c>
    </row>
    <row r="74" spans="1:62" ht="25.65" customHeight="1" x14ac:dyDescent="0.25">
      <c r="C74" s="14" t="s">
        <v>151</v>
      </c>
      <c r="D74" s="141" t="s">
        <v>370</v>
      </c>
      <c r="E74" s="142"/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62" x14ac:dyDescent="0.25">
      <c r="A75" s="4" t="s">
        <v>33</v>
      </c>
      <c r="B75" s="4"/>
      <c r="C75" s="4" t="s">
        <v>176</v>
      </c>
      <c r="D75" s="4" t="s">
        <v>371</v>
      </c>
      <c r="E75" s="4" t="s">
        <v>591</v>
      </c>
      <c r="F75" s="20">
        <v>37.299999999999997</v>
      </c>
      <c r="G75" s="88"/>
      <c r="H75" s="20">
        <f>F75*AO75</f>
        <v>0</v>
      </c>
      <c r="I75" s="20">
        <f>F75*AP75</f>
        <v>0</v>
      </c>
      <c r="J75" s="20">
        <f>F75*G75</f>
        <v>0</v>
      </c>
      <c r="K75" s="41">
        <f>IF(J305=0,0,J75/J305)</f>
        <v>0</v>
      </c>
      <c r="L75" s="20">
        <v>5.5199999999999997E-3</v>
      </c>
      <c r="M75" s="20">
        <f>F75*L75</f>
        <v>0.20589599999999997</v>
      </c>
      <c r="N75" s="31" t="s">
        <v>620</v>
      </c>
      <c r="Z75" s="35">
        <f>IF(AQ75="5",BJ75,0)</f>
        <v>0</v>
      </c>
      <c r="AB75" s="35">
        <f>IF(AQ75="1",BH75,0)</f>
        <v>0</v>
      </c>
      <c r="AC75" s="35">
        <f>IF(AQ75="1",BI75,0)</f>
        <v>0</v>
      </c>
      <c r="AD75" s="35">
        <f>IF(AQ75="7",BH75,0)</f>
        <v>0</v>
      </c>
      <c r="AE75" s="35">
        <f>IF(AQ75="7",BI75,0)</f>
        <v>0</v>
      </c>
      <c r="AF75" s="35">
        <f>IF(AQ75="2",BH75,0)</f>
        <v>0</v>
      </c>
      <c r="AG75" s="35">
        <f>IF(AQ75="2",BI75,0)</f>
        <v>0</v>
      </c>
      <c r="AH75" s="35">
        <f>IF(AQ75="0",BJ75,0)</f>
        <v>0</v>
      </c>
      <c r="AI75" s="27"/>
      <c r="AJ75" s="20">
        <f>IF(AN75=0,J75,0)</f>
        <v>0</v>
      </c>
      <c r="AK75" s="20">
        <f>IF(AN75=15,J75,0)</f>
        <v>0</v>
      </c>
      <c r="AL75" s="20">
        <f>IF(AN75=21,J75,0)</f>
        <v>0</v>
      </c>
      <c r="AN75" s="35">
        <v>21</v>
      </c>
      <c r="AO75" s="35">
        <f>G75*0.158389394130943</f>
        <v>0</v>
      </c>
      <c r="AP75" s="35">
        <f>G75*(1-0.158389394130943)</f>
        <v>0</v>
      </c>
      <c r="AQ75" s="31" t="s">
        <v>7</v>
      </c>
      <c r="AV75" s="35">
        <f>AW75+AX75</f>
        <v>0</v>
      </c>
      <c r="AW75" s="35">
        <f>F75*AO75</f>
        <v>0</v>
      </c>
      <c r="AX75" s="35">
        <f>F75*AP75</f>
        <v>0</v>
      </c>
      <c r="AY75" s="36" t="s">
        <v>639</v>
      </c>
      <c r="AZ75" s="36" t="s">
        <v>671</v>
      </c>
      <c r="BA75" s="27" t="s">
        <v>681</v>
      </c>
      <c r="BC75" s="35">
        <f>AW75+AX75</f>
        <v>0</v>
      </c>
      <c r="BD75" s="35">
        <f>G75/(100-BE75)*100</f>
        <v>0</v>
      </c>
      <c r="BE75" s="35">
        <v>0</v>
      </c>
      <c r="BF75" s="35">
        <f>M75</f>
        <v>0.20589599999999997</v>
      </c>
      <c r="BH75" s="20">
        <f>F75*AO75</f>
        <v>0</v>
      </c>
      <c r="BI75" s="20">
        <f>F75*AP75</f>
        <v>0</v>
      </c>
      <c r="BJ75" s="20">
        <f>F75*G75</f>
        <v>0</v>
      </c>
    </row>
    <row r="76" spans="1:62" x14ac:dyDescent="0.25">
      <c r="C76" s="14" t="s">
        <v>151</v>
      </c>
      <c r="D76" s="141" t="s">
        <v>372</v>
      </c>
      <c r="E76" s="142"/>
      <c r="F76" s="142"/>
      <c r="G76" s="142"/>
      <c r="H76" s="142"/>
      <c r="I76" s="142"/>
      <c r="J76" s="142"/>
      <c r="K76" s="142"/>
      <c r="L76" s="142"/>
      <c r="M76" s="142"/>
      <c r="N76" s="142"/>
    </row>
    <row r="77" spans="1:62" x14ac:dyDescent="0.25">
      <c r="A77" s="4" t="s">
        <v>34</v>
      </c>
      <c r="B77" s="4"/>
      <c r="C77" s="4" t="s">
        <v>177</v>
      </c>
      <c r="D77" s="4" t="s">
        <v>373</v>
      </c>
      <c r="E77" s="4" t="s">
        <v>591</v>
      </c>
      <c r="F77" s="20">
        <v>37.299999999999997</v>
      </c>
      <c r="G77" s="88"/>
      <c r="H77" s="20">
        <f>F77*AO77</f>
        <v>0</v>
      </c>
      <c r="I77" s="20">
        <f>F77*AP77</f>
        <v>0</v>
      </c>
      <c r="J77" s="20">
        <f>F77*G77</f>
        <v>0</v>
      </c>
      <c r="K77" s="41">
        <f>IF(J305=0,0,J77/J305)</f>
        <v>0</v>
      </c>
      <c r="L77" s="20">
        <v>0</v>
      </c>
      <c r="M77" s="20">
        <f>F77*L77</f>
        <v>0</v>
      </c>
      <c r="N77" s="31" t="s">
        <v>620</v>
      </c>
      <c r="Z77" s="35">
        <f>IF(AQ77="5",BJ77,0)</f>
        <v>0</v>
      </c>
      <c r="AB77" s="35">
        <f>IF(AQ77="1",BH77,0)</f>
        <v>0</v>
      </c>
      <c r="AC77" s="35">
        <f>IF(AQ77="1",BI77,0)</f>
        <v>0</v>
      </c>
      <c r="AD77" s="35">
        <f>IF(AQ77="7",BH77,0)</f>
        <v>0</v>
      </c>
      <c r="AE77" s="35">
        <f>IF(AQ77="7",BI77,0)</f>
        <v>0</v>
      </c>
      <c r="AF77" s="35">
        <f>IF(AQ77="2",BH77,0)</f>
        <v>0</v>
      </c>
      <c r="AG77" s="35">
        <f>IF(AQ77="2",BI77,0)</f>
        <v>0</v>
      </c>
      <c r="AH77" s="35">
        <f>IF(AQ77="0",BJ77,0)</f>
        <v>0</v>
      </c>
      <c r="AI77" s="27"/>
      <c r="AJ77" s="20">
        <f>IF(AN77=0,J77,0)</f>
        <v>0</v>
      </c>
      <c r="AK77" s="20">
        <f>IF(AN77=15,J77,0)</f>
        <v>0</v>
      </c>
      <c r="AL77" s="20">
        <f>IF(AN77=21,J77,0)</f>
        <v>0</v>
      </c>
      <c r="AN77" s="35">
        <v>21</v>
      </c>
      <c r="AO77" s="35">
        <f>G77*0</f>
        <v>0</v>
      </c>
      <c r="AP77" s="35">
        <f>G77*(1-0)</f>
        <v>0</v>
      </c>
      <c r="AQ77" s="31" t="s">
        <v>7</v>
      </c>
      <c r="AV77" s="35">
        <f>AW77+AX77</f>
        <v>0</v>
      </c>
      <c r="AW77" s="35">
        <f>F77*AO77</f>
        <v>0</v>
      </c>
      <c r="AX77" s="35">
        <f>F77*AP77</f>
        <v>0</v>
      </c>
      <c r="AY77" s="36" t="s">
        <v>639</v>
      </c>
      <c r="AZ77" s="36" t="s">
        <v>671</v>
      </c>
      <c r="BA77" s="27" t="s">
        <v>681</v>
      </c>
      <c r="BC77" s="35">
        <f>AW77+AX77</f>
        <v>0</v>
      </c>
      <c r="BD77" s="35">
        <f>G77/(100-BE77)*100</f>
        <v>0</v>
      </c>
      <c r="BE77" s="35">
        <v>0</v>
      </c>
      <c r="BF77" s="35">
        <f>M77</f>
        <v>0</v>
      </c>
      <c r="BH77" s="20">
        <f>F77*AO77</f>
        <v>0</v>
      </c>
      <c r="BI77" s="20">
        <f>F77*AP77</f>
        <v>0</v>
      </c>
      <c r="BJ77" s="20">
        <f>F77*G77</f>
        <v>0</v>
      </c>
    </row>
    <row r="78" spans="1:62" x14ac:dyDescent="0.25">
      <c r="C78" s="14" t="s">
        <v>151</v>
      </c>
      <c r="D78" s="141" t="s">
        <v>372</v>
      </c>
      <c r="E78" s="142"/>
      <c r="F78" s="142"/>
      <c r="G78" s="142"/>
      <c r="H78" s="142"/>
      <c r="I78" s="142"/>
      <c r="J78" s="142"/>
      <c r="K78" s="142"/>
      <c r="L78" s="142"/>
      <c r="M78" s="142"/>
      <c r="N78" s="142"/>
    </row>
    <row r="79" spans="1:62" x14ac:dyDescent="0.25">
      <c r="A79" s="4" t="s">
        <v>35</v>
      </c>
      <c r="B79" s="4"/>
      <c r="C79" s="4" t="s">
        <v>178</v>
      </c>
      <c r="D79" s="4" t="s">
        <v>374</v>
      </c>
      <c r="E79" s="4" t="s">
        <v>592</v>
      </c>
      <c r="F79" s="20">
        <v>4.2895000000000003</v>
      </c>
      <c r="G79" s="88"/>
      <c r="H79" s="20">
        <f>F79*AO79</f>
        <v>0</v>
      </c>
      <c r="I79" s="20">
        <f>F79*AP79</f>
        <v>0</v>
      </c>
      <c r="J79" s="20">
        <f>F79*G79</f>
        <v>0</v>
      </c>
      <c r="K79" s="41">
        <f>IF(J305=0,0,J79/J305)</f>
        <v>0</v>
      </c>
      <c r="L79" s="20">
        <v>2.5251399999999999</v>
      </c>
      <c r="M79" s="20">
        <f>F79*L79</f>
        <v>10.831588030000001</v>
      </c>
      <c r="N79" s="31" t="s">
        <v>620</v>
      </c>
      <c r="Z79" s="35">
        <f>IF(AQ79="5",BJ79,0)</f>
        <v>0</v>
      </c>
      <c r="AB79" s="35">
        <f>IF(AQ79="1",BH79,0)</f>
        <v>0</v>
      </c>
      <c r="AC79" s="35">
        <f>IF(AQ79="1",BI79,0)</f>
        <v>0</v>
      </c>
      <c r="AD79" s="35">
        <f>IF(AQ79="7",BH79,0)</f>
        <v>0</v>
      </c>
      <c r="AE79" s="35">
        <f>IF(AQ79="7",BI79,0)</f>
        <v>0</v>
      </c>
      <c r="AF79" s="35">
        <f>IF(AQ79="2",BH79,0)</f>
        <v>0</v>
      </c>
      <c r="AG79" s="35">
        <f>IF(AQ79="2",BI79,0)</f>
        <v>0</v>
      </c>
      <c r="AH79" s="35">
        <f>IF(AQ79="0",BJ79,0)</f>
        <v>0</v>
      </c>
      <c r="AI79" s="27"/>
      <c r="AJ79" s="20">
        <f>IF(AN79=0,J79,0)</f>
        <v>0</v>
      </c>
      <c r="AK79" s="20">
        <f>IF(AN79=15,J79,0)</f>
        <v>0</v>
      </c>
      <c r="AL79" s="20">
        <f>IF(AN79=21,J79,0)</f>
        <v>0</v>
      </c>
      <c r="AN79" s="35">
        <v>21</v>
      </c>
      <c r="AO79" s="35">
        <f>G79*0.832086330935252</f>
        <v>0</v>
      </c>
      <c r="AP79" s="35">
        <f>G79*(1-0.832086330935252)</f>
        <v>0</v>
      </c>
      <c r="AQ79" s="31" t="s">
        <v>7</v>
      </c>
      <c r="AV79" s="35">
        <f>AW79+AX79</f>
        <v>0</v>
      </c>
      <c r="AW79" s="35">
        <f>F79*AO79</f>
        <v>0</v>
      </c>
      <c r="AX79" s="35">
        <f>F79*AP79</f>
        <v>0</v>
      </c>
      <c r="AY79" s="36" t="s">
        <v>639</v>
      </c>
      <c r="AZ79" s="36" t="s">
        <v>671</v>
      </c>
      <c r="BA79" s="27" t="s">
        <v>681</v>
      </c>
      <c r="BC79" s="35">
        <f>AW79+AX79</f>
        <v>0</v>
      </c>
      <c r="BD79" s="35">
        <f>G79/(100-BE79)*100</f>
        <v>0</v>
      </c>
      <c r="BE79" s="35">
        <v>0</v>
      </c>
      <c r="BF79" s="35">
        <f>M79</f>
        <v>10.831588030000001</v>
      </c>
      <c r="BH79" s="20">
        <f>F79*AO79</f>
        <v>0</v>
      </c>
      <c r="BI79" s="20">
        <f>F79*AP79</f>
        <v>0</v>
      </c>
      <c r="BJ79" s="20">
        <f>F79*G79</f>
        <v>0</v>
      </c>
    </row>
    <row r="80" spans="1:62" x14ac:dyDescent="0.25">
      <c r="C80" s="14" t="s">
        <v>151</v>
      </c>
      <c r="D80" s="141" t="s">
        <v>375</v>
      </c>
      <c r="E80" s="142"/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62" x14ac:dyDescent="0.25">
      <c r="A81" s="4" t="s">
        <v>36</v>
      </c>
      <c r="B81" s="4"/>
      <c r="C81" s="4" t="s">
        <v>179</v>
      </c>
      <c r="D81" s="4" t="s">
        <v>376</v>
      </c>
      <c r="E81" s="4" t="s">
        <v>593</v>
      </c>
      <c r="F81" s="20">
        <v>8.4930000000000005E-2</v>
      </c>
      <c r="G81" s="88"/>
      <c r="H81" s="20">
        <f>F81*AO81</f>
        <v>0</v>
      </c>
      <c r="I81" s="20">
        <f>F81*AP81</f>
        <v>0</v>
      </c>
      <c r="J81" s="20">
        <f>F81*G81</f>
        <v>0</v>
      </c>
      <c r="K81" s="41">
        <f>IF(J305=0,0,J81/J305)</f>
        <v>0</v>
      </c>
      <c r="L81" s="20">
        <v>1.0563400000000001</v>
      </c>
      <c r="M81" s="20">
        <f>F81*L81</f>
        <v>8.9714956200000015E-2</v>
      </c>
      <c r="N81" s="31" t="s">
        <v>620</v>
      </c>
      <c r="Z81" s="35">
        <f>IF(AQ81="5",BJ81,0)</f>
        <v>0</v>
      </c>
      <c r="AB81" s="35">
        <f>IF(AQ81="1",BH81,0)</f>
        <v>0</v>
      </c>
      <c r="AC81" s="35">
        <f>IF(AQ81="1",BI81,0)</f>
        <v>0</v>
      </c>
      <c r="AD81" s="35">
        <f>IF(AQ81="7",BH81,0)</f>
        <v>0</v>
      </c>
      <c r="AE81" s="35">
        <f>IF(AQ81="7",BI81,0)</f>
        <v>0</v>
      </c>
      <c r="AF81" s="35">
        <f>IF(AQ81="2",BH81,0)</f>
        <v>0</v>
      </c>
      <c r="AG81" s="35">
        <f>IF(AQ81="2",BI81,0)</f>
        <v>0</v>
      </c>
      <c r="AH81" s="35">
        <f>IF(AQ81="0",BJ81,0)</f>
        <v>0</v>
      </c>
      <c r="AI81" s="27"/>
      <c r="AJ81" s="20">
        <f>IF(AN81=0,J81,0)</f>
        <v>0</v>
      </c>
      <c r="AK81" s="20">
        <f>IF(AN81=15,J81,0)</f>
        <v>0</v>
      </c>
      <c r="AL81" s="20">
        <f>IF(AN81=21,J81,0)</f>
        <v>0</v>
      </c>
      <c r="AN81" s="35">
        <v>21</v>
      </c>
      <c r="AO81" s="35">
        <f>G81*0.82746580305704</f>
        <v>0</v>
      </c>
      <c r="AP81" s="35">
        <f>G81*(1-0.82746580305704)</f>
        <v>0</v>
      </c>
      <c r="AQ81" s="31" t="s">
        <v>7</v>
      </c>
      <c r="AV81" s="35">
        <f>AW81+AX81</f>
        <v>0</v>
      </c>
      <c r="AW81" s="35">
        <f>F81*AO81</f>
        <v>0</v>
      </c>
      <c r="AX81" s="35">
        <f>F81*AP81</f>
        <v>0</v>
      </c>
      <c r="AY81" s="36" t="s">
        <v>639</v>
      </c>
      <c r="AZ81" s="36" t="s">
        <v>671</v>
      </c>
      <c r="BA81" s="27" t="s">
        <v>681</v>
      </c>
      <c r="BC81" s="35">
        <f>AW81+AX81</f>
        <v>0</v>
      </c>
      <c r="BD81" s="35">
        <f>G81/(100-BE81)*100</f>
        <v>0</v>
      </c>
      <c r="BE81" s="35">
        <v>0</v>
      </c>
      <c r="BF81" s="35">
        <f>M81</f>
        <v>8.9714956200000015E-2</v>
      </c>
      <c r="BH81" s="20">
        <f>F81*AO81</f>
        <v>0</v>
      </c>
      <c r="BI81" s="20">
        <f>F81*AP81</f>
        <v>0</v>
      </c>
      <c r="BJ81" s="20">
        <f>F81*G81</f>
        <v>0</v>
      </c>
    </row>
    <row r="82" spans="1:62" x14ac:dyDescent="0.25">
      <c r="D82" s="17" t="s">
        <v>377</v>
      </c>
    </row>
    <row r="83" spans="1:62" x14ac:dyDescent="0.25">
      <c r="C83" s="14" t="s">
        <v>151</v>
      </c>
      <c r="D83" s="141" t="s">
        <v>378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62" x14ac:dyDescent="0.25">
      <c r="A84" s="4" t="s">
        <v>37</v>
      </c>
      <c r="B84" s="4"/>
      <c r="C84" s="4" t="s">
        <v>180</v>
      </c>
      <c r="D84" s="4" t="s">
        <v>379</v>
      </c>
      <c r="E84" s="4" t="s">
        <v>594</v>
      </c>
      <c r="F84" s="20">
        <v>0.6</v>
      </c>
      <c r="G84" s="88"/>
      <c r="H84" s="20">
        <f>F84*AO84</f>
        <v>0</v>
      </c>
      <c r="I84" s="20">
        <f>F84*AP84</f>
        <v>0</v>
      </c>
      <c r="J84" s="20">
        <f>F84*G84</f>
        <v>0</v>
      </c>
      <c r="K84" s="41">
        <f>IF(J305=0,0,J84/J305)</f>
        <v>0</v>
      </c>
      <c r="L84" s="20">
        <v>6.2460000000000002E-2</v>
      </c>
      <c r="M84" s="20">
        <f>F84*L84</f>
        <v>3.7476000000000002E-2</v>
      </c>
      <c r="N84" s="31" t="s">
        <v>620</v>
      </c>
      <c r="Z84" s="35">
        <f>IF(AQ84="5",BJ84,0)</f>
        <v>0</v>
      </c>
      <c r="AB84" s="35">
        <f>IF(AQ84="1",BH84,0)</f>
        <v>0</v>
      </c>
      <c r="AC84" s="35">
        <f>IF(AQ84="1",BI84,0)</f>
        <v>0</v>
      </c>
      <c r="AD84" s="35">
        <f>IF(AQ84="7",BH84,0)</f>
        <v>0</v>
      </c>
      <c r="AE84" s="35">
        <f>IF(AQ84="7",BI84,0)</f>
        <v>0</v>
      </c>
      <c r="AF84" s="35">
        <f>IF(AQ84="2",BH84,0)</f>
        <v>0</v>
      </c>
      <c r="AG84" s="35">
        <f>IF(AQ84="2",BI84,0)</f>
        <v>0</v>
      </c>
      <c r="AH84" s="35">
        <f>IF(AQ84="0",BJ84,0)</f>
        <v>0</v>
      </c>
      <c r="AI84" s="27"/>
      <c r="AJ84" s="20">
        <f>IF(AN84=0,J84,0)</f>
        <v>0</v>
      </c>
      <c r="AK84" s="20">
        <f>IF(AN84=15,J84,0)</f>
        <v>0</v>
      </c>
      <c r="AL84" s="20">
        <f>IF(AN84=21,J84,0)</f>
        <v>0</v>
      </c>
      <c r="AN84" s="35">
        <v>21</v>
      </c>
      <c r="AO84" s="35">
        <f>G84*0.557969637830089</f>
        <v>0</v>
      </c>
      <c r="AP84" s="35">
        <f>G84*(1-0.557969637830089)</f>
        <v>0</v>
      </c>
      <c r="AQ84" s="31" t="s">
        <v>7</v>
      </c>
      <c r="AV84" s="35">
        <f>AW84+AX84</f>
        <v>0</v>
      </c>
      <c r="AW84" s="35">
        <f>F84*AO84</f>
        <v>0</v>
      </c>
      <c r="AX84" s="35">
        <f>F84*AP84</f>
        <v>0</v>
      </c>
      <c r="AY84" s="36" t="s">
        <v>639</v>
      </c>
      <c r="AZ84" s="36" t="s">
        <v>671</v>
      </c>
      <c r="BA84" s="27" t="s">
        <v>681</v>
      </c>
      <c r="BC84" s="35">
        <f>AW84+AX84</f>
        <v>0</v>
      </c>
      <c r="BD84" s="35">
        <f>G84/(100-BE84)*100</f>
        <v>0</v>
      </c>
      <c r="BE84" s="35">
        <v>0</v>
      </c>
      <c r="BF84" s="35">
        <f>M84</f>
        <v>3.7476000000000002E-2</v>
      </c>
      <c r="BH84" s="20">
        <f>F84*AO84</f>
        <v>0</v>
      </c>
      <c r="BI84" s="20">
        <f>F84*AP84</f>
        <v>0</v>
      </c>
      <c r="BJ84" s="20">
        <f>F84*G84</f>
        <v>0</v>
      </c>
    </row>
    <row r="85" spans="1:62" x14ac:dyDescent="0.25">
      <c r="D85" s="17" t="s">
        <v>380</v>
      </c>
    </row>
    <row r="86" spans="1:62" x14ac:dyDescent="0.25">
      <c r="C86" s="14" t="s">
        <v>151</v>
      </c>
      <c r="D86" s="141" t="s">
        <v>381</v>
      </c>
      <c r="E86" s="142"/>
      <c r="F86" s="142"/>
      <c r="G86" s="142"/>
      <c r="H86" s="142"/>
      <c r="I86" s="142"/>
      <c r="J86" s="142"/>
      <c r="K86" s="142"/>
      <c r="L86" s="142"/>
      <c r="M86" s="142"/>
      <c r="N86" s="142"/>
    </row>
    <row r="87" spans="1:62" x14ac:dyDescent="0.25">
      <c r="A87" s="5"/>
      <c r="B87" s="13"/>
      <c r="C87" s="13" t="s">
        <v>50</v>
      </c>
      <c r="D87" s="13" t="s">
        <v>382</v>
      </c>
      <c r="E87" s="5" t="s">
        <v>6</v>
      </c>
      <c r="F87" s="5" t="s">
        <v>6</v>
      </c>
      <c r="G87" s="90" t="s">
        <v>6</v>
      </c>
      <c r="H87" s="38">
        <f>SUM(H88:H91)</f>
        <v>0</v>
      </c>
      <c r="I87" s="38">
        <f>SUM(I88:I91)</f>
        <v>0</v>
      </c>
      <c r="J87" s="38">
        <f>SUM(J88:J91)</f>
        <v>0</v>
      </c>
      <c r="K87" s="42">
        <f>IF(J305=0,0,J87/J305)</f>
        <v>0</v>
      </c>
      <c r="L87" s="27"/>
      <c r="M87" s="38">
        <f>SUM(M88:M91)</f>
        <v>1.55669952</v>
      </c>
      <c r="N87" s="27"/>
      <c r="AI87" s="27"/>
      <c r="AS87" s="38">
        <f>SUM(AJ88:AJ91)</f>
        <v>0</v>
      </c>
      <c r="AT87" s="38">
        <f>SUM(AK88:AK91)</f>
        <v>0</v>
      </c>
      <c r="AU87" s="38">
        <f>SUM(AL88:AL91)</f>
        <v>0</v>
      </c>
    </row>
    <row r="88" spans="1:62" x14ac:dyDescent="0.25">
      <c r="A88" s="4" t="s">
        <v>38</v>
      </c>
      <c r="B88" s="4"/>
      <c r="C88" s="4" t="s">
        <v>181</v>
      </c>
      <c r="D88" s="4" t="s">
        <v>383</v>
      </c>
      <c r="E88" s="4" t="s">
        <v>591</v>
      </c>
      <c r="F88" s="20">
        <v>118.4</v>
      </c>
      <c r="G88" s="88"/>
      <c r="H88" s="20">
        <f>F88*AO88</f>
        <v>0</v>
      </c>
      <c r="I88" s="20">
        <f>F88*AP88</f>
        <v>0</v>
      </c>
      <c r="J88" s="20">
        <f>F88*G88</f>
        <v>0</v>
      </c>
      <c r="K88" s="41">
        <f>IF(J305=0,0,J88/J305)</f>
        <v>0</v>
      </c>
      <c r="L88" s="20">
        <v>0</v>
      </c>
      <c r="M88" s="20">
        <f>F88*L88</f>
        <v>0</v>
      </c>
      <c r="N88" s="31" t="s">
        <v>620</v>
      </c>
      <c r="Z88" s="35">
        <f>IF(AQ88="5",BJ88,0)</f>
        <v>0</v>
      </c>
      <c r="AB88" s="35">
        <f>IF(AQ88="1",BH88,0)</f>
        <v>0</v>
      </c>
      <c r="AC88" s="35">
        <f>IF(AQ88="1",BI88,0)</f>
        <v>0</v>
      </c>
      <c r="AD88" s="35">
        <f>IF(AQ88="7",BH88,0)</f>
        <v>0</v>
      </c>
      <c r="AE88" s="35">
        <f>IF(AQ88="7",BI88,0)</f>
        <v>0</v>
      </c>
      <c r="AF88" s="35">
        <f>IF(AQ88="2",BH88,0)</f>
        <v>0</v>
      </c>
      <c r="AG88" s="35">
        <f>IF(AQ88="2",BI88,0)</f>
        <v>0</v>
      </c>
      <c r="AH88" s="35">
        <f>IF(AQ88="0",BJ88,0)</f>
        <v>0</v>
      </c>
      <c r="AI88" s="27"/>
      <c r="AJ88" s="20">
        <f>IF(AN88=0,J88,0)</f>
        <v>0</v>
      </c>
      <c r="AK88" s="20">
        <f>IF(AN88=15,J88,0)</f>
        <v>0</v>
      </c>
      <c r="AL88" s="20">
        <f>IF(AN88=21,J88,0)</f>
        <v>0</v>
      </c>
      <c r="AN88" s="35">
        <v>21</v>
      </c>
      <c r="AO88" s="35">
        <f>G88*0.301076746849943</f>
        <v>0</v>
      </c>
      <c r="AP88" s="35">
        <f>G88*(1-0.301076746849943)</f>
        <v>0</v>
      </c>
      <c r="AQ88" s="31" t="s">
        <v>7</v>
      </c>
      <c r="AV88" s="35">
        <f>AW88+AX88</f>
        <v>0</v>
      </c>
      <c r="AW88" s="35">
        <f>F88*AO88</f>
        <v>0</v>
      </c>
      <c r="AX88" s="35">
        <f>F88*AP88</f>
        <v>0</v>
      </c>
      <c r="AY88" s="36" t="s">
        <v>640</v>
      </c>
      <c r="AZ88" s="36" t="s">
        <v>671</v>
      </c>
      <c r="BA88" s="27" t="s">
        <v>681</v>
      </c>
      <c r="BC88" s="35">
        <f>AW88+AX88</f>
        <v>0</v>
      </c>
      <c r="BD88" s="35">
        <f>G88/(100-BE88)*100</f>
        <v>0</v>
      </c>
      <c r="BE88" s="35">
        <v>0</v>
      </c>
      <c r="BF88" s="35">
        <f>M88</f>
        <v>0</v>
      </c>
      <c r="BH88" s="20">
        <f>F88*AO88</f>
        <v>0</v>
      </c>
      <c r="BI88" s="20">
        <f>F88*AP88</f>
        <v>0</v>
      </c>
      <c r="BJ88" s="20">
        <f>F88*G88</f>
        <v>0</v>
      </c>
    </row>
    <row r="89" spans="1:62" x14ac:dyDescent="0.25">
      <c r="D89" s="17" t="s">
        <v>384</v>
      </c>
    </row>
    <row r="90" spans="1:62" x14ac:dyDescent="0.25">
      <c r="C90" s="14" t="s">
        <v>151</v>
      </c>
      <c r="D90" s="141" t="s">
        <v>385</v>
      </c>
      <c r="E90" s="142"/>
      <c r="F90" s="142"/>
      <c r="G90" s="142"/>
      <c r="H90" s="142"/>
      <c r="I90" s="142"/>
      <c r="J90" s="142"/>
      <c r="K90" s="142"/>
      <c r="L90" s="142"/>
      <c r="M90" s="142"/>
      <c r="N90" s="142"/>
    </row>
    <row r="91" spans="1:62" x14ac:dyDescent="0.25">
      <c r="A91" s="6" t="s">
        <v>39</v>
      </c>
      <c r="B91" s="6"/>
      <c r="C91" s="6" t="s">
        <v>182</v>
      </c>
      <c r="D91" s="6" t="s">
        <v>386</v>
      </c>
      <c r="E91" s="6" t="s">
        <v>591</v>
      </c>
      <c r="F91" s="21">
        <v>120.768</v>
      </c>
      <c r="G91" s="91"/>
      <c r="H91" s="21">
        <f>F91*AO91</f>
        <v>0</v>
      </c>
      <c r="I91" s="21">
        <f>F91*AP91</f>
        <v>0</v>
      </c>
      <c r="J91" s="21">
        <f>F91*G91</f>
        <v>0</v>
      </c>
      <c r="K91" s="43">
        <f>IF(J305=0,0,J91/J305)</f>
        <v>0</v>
      </c>
      <c r="L91" s="21">
        <v>1.289E-2</v>
      </c>
      <c r="M91" s="21">
        <f>F91*L91</f>
        <v>1.55669952</v>
      </c>
      <c r="N91" s="32" t="s">
        <v>620</v>
      </c>
      <c r="Z91" s="35">
        <f>IF(AQ91="5",BJ91,0)</f>
        <v>0</v>
      </c>
      <c r="AB91" s="35">
        <f>IF(AQ91="1",BH91,0)</f>
        <v>0</v>
      </c>
      <c r="AC91" s="35">
        <f>IF(AQ91="1",BI91,0)</f>
        <v>0</v>
      </c>
      <c r="AD91" s="35">
        <f>IF(AQ91="7",BH91,0)</f>
        <v>0</v>
      </c>
      <c r="AE91" s="35">
        <f>IF(AQ91="7",BI91,0)</f>
        <v>0</v>
      </c>
      <c r="AF91" s="35">
        <f>IF(AQ91="2",BH91,0)</f>
        <v>0</v>
      </c>
      <c r="AG91" s="35">
        <f>IF(AQ91="2",BI91,0)</f>
        <v>0</v>
      </c>
      <c r="AH91" s="35">
        <f>IF(AQ91="0",BJ91,0)</f>
        <v>0</v>
      </c>
      <c r="AI91" s="27"/>
      <c r="AJ91" s="21">
        <f>IF(AN91=0,J91,0)</f>
        <v>0</v>
      </c>
      <c r="AK91" s="21">
        <f>IF(AN91=15,J91,0)</f>
        <v>0</v>
      </c>
      <c r="AL91" s="21">
        <f>IF(AN91=21,J91,0)</f>
        <v>0</v>
      </c>
      <c r="AN91" s="35">
        <v>21</v>
      </c>
      <c r="AO91" s="35">
        <f>G91*1</f>
        <v>0</v>
      </c>
      <c r="AP91" s="35">
        <f>G91*(1-1)</f>
        <v>0</v>
      </c>
      <c r="AQ91" s="32" t="s">
        <v>7</v>
      </c>
      <c r="AV91" s="35">
        <f>AW91+AX91</f>
        <v>0</v>
      </c>
      <c r="AW91" s="35">
        <f>F91*AO91</f>
        <v>0</v>
      </c>
      <c r="AX91" s="35">
        <f>F91*AP91</f>
        <v>0</v>
      </c>
      <c r="AY91" s="36" t="s">
        <v>640</v>
      </c>
      <c r="AZ91" s="36" t="s">
        <v>671</v>
      </c>
      <c r="BA91" s="27" t="s">
        <v>681</v>
      </c>
      <c r="BC91" s="35">
        <f>AW91+AX91</f>
        <v>0</v>
      </c>
      <c r="BD91" s="35">
        <f>G91/(100-BE91)*100</f>
        <v>0</v>
      </c>
      <c r="BE91" s="35">
        <v>0</v>
      </c>
      <c r="BF91" s="35">
        <f>M91</f>
        <v>1.55669952</v>
      </c>
      <c r="BH91" s="21">
        <f>F91*AO91</f>
        <v>0</v>
      </c>
      <c r="BI91" s="21">
        <f>F91*AP91</f>
        <v>0</v>
      </c>
      <c r="BJ91" s="21">
        <f>F91*G91</f>
        <v>0</v>
      </c>
    </row>
    <row r="92" spans="1:62" ht="25.65" customHeight="1" x14ac:dyDescent="0.25">
      <c r="C92" s="14" t="s">
        <v>151</v>
      </c>
      <c r="D92" s="141" t="s">
        <v>387</v>
      </c>
      <c r="E92" s="142"/>
      <c r="F92" s="142"/>
      <c r="G92" s="142"/>
      <c r="H92" s="142"/>
      <c r="I92" s="142"/>
      <c r="J92" s="142"/>
      <c r="K92" s="142"/>
      <c r="L92" s="142"/>
      <c r="M92" s="142"/>
      <c r="N92" s="142"/>
    </row>
    <row r="93" spans="1:62" x14ac:dyDescent="0.25">
      <c r="A93" s="5"/>
      <c r="B93" s="13"/>
      <c r="C93" s="13" t="s">
        <v>63</v>
      </c>
      <c r="D93" s="13" t="s">
        <v>388</v>
      </c>
      <c r="E93" s="5" t="s">
        <v>6</v>
      </c>
      <c r="F93" s="5" t="s">
        <v>6</v>
      </c>
      <c r="G93" s="90" t="s">
        <v>6</v>
      </c>
      <c r="H93" s="38">
        <f>SUM(H94:H100)</f>
        <v>0</v>
      </c>
      <c r="I93" s="38">
        <f>SUM(I94:I100)</f>
        <v>0</v>
      </c>
      <c r="J93" s="38">
        <f>SUM(J94:J100)</f>
        <v>0</v>
      </c>
      <c r="K93" s="42">
        <f>IF(J305=0,0,J93/J305)</f>
        <v>0</v>
      </c>
      <c r="L93" s="27"/>
      <c r="M93" s="38">
        <f>SUM(M94:M100)</f>
        <v>40.832520000000002</v>
      </c>
      <c r="N93" s="27"/>
      <c r="AI93" s="27"/>
      <c r="AS93" s="38">
        <f>SUM(AJ94:AJ100)</f>
        <v>0</v>
      </c>
      <c r="AT93" s="38">
        <f>SUM(AK94:AK100)</f>
        <v>0</v>
      </c>
      <c r="AU93" s="38">
        <f>SUM(AL94:AL100)</f>
        <v>0</v>
      </c>
    </row>
    <row r="94" spans="1:62" x14ac:dyDescent="0.25">
      <c r="A94" s="4" t="s">
        <v>40</v>
      </c>
      <c r="B94" s="4"/>
      <c r="C94" s="4" t="s">
        <v>183</v>
      </c>
      <c r="D94" s="4" t="s">
        <v>389</v>
      </c>
      <c r="E94" s="4" t="s">
        <v>591</v>
      </c>
      <c r="F94" s="20">
        <v>28.5</v>
      </c>
      <c r="G94" s="88"/>
      <c r="H94" s="20">
        <f>F94*AO94</f>
        <v>0</v>
      </c>
      <c r="I94" s="20">
        <f>F94*AP94</f>
        <v>0</v>
      </c>
      <c r="J94" s="20">
        <f>F94*G94</f>
        <v>0</v>
      </c>
      <c r="K94" s="41">
        <f>IF(J305=0,0,J94/J305)</f>
        <v>0</v>
      </c>
      <c r="L94" s="20">
        <v>0.4788</v>
      </c>
      <c r="M94" s="20">
        <f>F94*L94</f>
        <v>13.645799999999999</v>
      </c>
      <c r="N94" s="31" t="s">
        <v>620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27"/>
      <c r="AJ94" s="20">
        <f>IF(AN94=0,J94,0)</f>
        <v>0</v>
      </c>
      <c r="AK94" s="20">
        <f>IF(AN94=15,J94,0)</f>
        <v>0</v>
      </c>
      <c r="AL94" s="20">
        <f>IF(AN94=21,J94,0)</f>
        <v>0</v>
      </c>
      <c r="AN94" s="35">
        <v>21</v>
      </c>
      <c r="AO94" s="35">
        <f>G94*0.879397187626531</f>
        <v>0</v>
      </c>
      <c r="AP94" s="35">
        <f>G94*(1-0.879397187626531)</f>
        <v>0</v>
      </c>
      <c r="AQ94" s="31" t="s">
        <v>7</v>
      </c>
      <c r="AV94" s="35">
        <f>AW94+AX94</f>
        <v>0</v>
      </c>
      <c r="AW94" s="35">
        <f>F94*AO94</f>
        <v>0</v>
      </c>
      <c r="AX94" s="35">
        <f>F94*AP94</f>
        <v>0</v>
      </c>
      <c r="AY94" s="36" t="s">
        <v>641</v>
      </c>
      <c r="AZ94" s="36" t="s">
        <v>672</v>
      </c>
      <c r="BA94" s="27" t="s">
        <v>681</v>
      </c>
      <c r="BC94" s="35">
        <f>AW94+AX94</f>
        <v>0</v>
      </c>
      <c r="BD94" s="35">
        <f>G94/(100-BE94)*100</f>
        <v>0</v>
      </c>
      <c r="BE94" s="35">
        <v>0</v>
      </c>
      <c r="BF94" s="35">
        <f>M94</f>
        <v>13.645799999999999</v>
      </c>
      <c r="BH94" s="20">
        <f>F94*AO94</f>
        <v>0</v>
      </c>
      <c r="BI94" s="20">
        <f>F94*AP94</f>
        <v>0</v>
      </c>
      <c r="BJ94" s="20">
        <f>F94*G94</f>
        <v>0</v>
      </c>
    </row>
    <row r="95" spans="1:62" x14ac:dyDescent="0.25">
      <c r="D95" s="17" t="s">
        <v>390</v>
      </c>
    </row>
    <row r="96" spans="1:62" x14ac:dyDescent="0.25">
      <c r="A96" s="4" t="s">
        <v>41</v>
      </c>
      <c r="B96" s="4"/>
      <c r="C96" s="4" t="s">
        <v>184</v>
      </c>
      <c r="D96" s="4" t="s">
        <v>391</v>
      </c>
      <c r="E96" s="4" t="s">
        <v>591</v>
      </c>
      <c r="F96" s="20">
        <v>28.5</v>
      </c>
      <c r="G96" s="88"/>
      <c r="H96" s="20">
        <f>F96*AO96</f>
        <v>0</v>
      </c>
      <c r="I96" s="20">
        <f>F96*AP96</f>
        <v>0</v>
      </c>
      <c r="J96" s="20">
        <f>F96*G96</f>
        <v>0</v>
      </c>
      <c r="K96" s="41">
        <f>IF(J305=0,0,J96/J305)</f>
        <v>0</v>
      </c>
      <c r="L96" s="20">
        <v>0.42199999999999999</v>
      </c>
      <c r="M96" s="20">
        <f>F96*L96</f>
        <v>12.026999999999999</v>
      </c>
      <c r="N96" s="31" t="s">
        <v>620</v>
      </c>
      <c r="Z96" s="35">
        <f>IF(AQ96="5",BJ96,0)</f>
        <v>0</v>
      </c>
      <c r="AB96" s="35">
        <f>IF(AQ96="1",BH96,0)</f>
        <v>0</v>
      </c>
      <c r="AC96" s="35">
        <f>IF(AQ96="1",BI96,0)</f>
        <v>0</v>
      </c>
      <c r="AD96" s="35">
        <f>IF(AQ96="7",BH96,0)</f>
        <v>0</v>
      </c>
      <c r="AE96" s="35">
        <f>IF(AQ96="7",BI96,0)</f>
        <v>0</v>
      </c>
      <c r="AF96" s="35">
        <f>IF(AQ96="2",BH96,0)</f>
        <v>0</v>
      </c>
      <c r="AG96" s="35">
        <f>IF(AQ96="2",BI96,0)</f>
        <v>0</v>
      </c>
      <c r="AH96" s="35">
        <f>IF(AQ96="0",BJ96,0)</f>
        <v>0</v>
      </c>
      <c r="AI96" s="27"/>
      <c r="AJ96" s="20">
        <f>IF(AN96=0,J96,0)</f>
        <v>0</v>
      </c>
      <c r="AK96" s="20">
        <f>IF(AN96=15,J96,0)</f>
        <v>0</v>
      </c>
      <c r="AL96" s="20">
        <f>IF(AN96=21,J96,0)</f>
        <v>0</v>
      </c>
      <c r="AN96" s="35">
        <v>21</v>
      </c>
      <c r="AO96" s="35">
        <f>G96*0.892565217391304</f>
        <v>0</v>
      </c>
      <c r="AP96" s="35">
        <f>G96*(1-0.892565217391304)</f>
        <v>0</v>
      </c>
      <c r="AQ96" s="31" t="s">
        <v>7</v>
      </c>
      <c r="AV96" s="35">
        <f>AW96+AX96</f>
        <v>0</v>
      </c>
      <c r="AW96" s="35">
        <f>F96*AO96</f>
        <v>0</v>
      </c>
      <c r="AX96" s="35">
        <f>F96*AP96</f>
        <v>0</v>
      </c>
      <c r="AY96" s="36" t="s">
        <v>641</v>
      </c>
      <c r="AZ96" s="36" t="s">
        <v>672</v>
      </c>
      <c r="BA96" s="27" t="s">
        <v>681</v>
      </c>
      <c r="BC96" s="35">
        <f>AW96+AX96</f>
        <v>0</v>
      </c>
      <c r="BD96" s="35">
        <f>G96/(100-BE96)*100</f>
        <v>0</v>
      </c>
      <c r="BE96" s="35">
        <v>0</v>
      </c>
      <c r="BF96" s="35">
        <f>M96</f>
        <v>12.026999999999999</v>
      </c>
      <c r="BH96" s="20">
        <f>F96*AO96</f>
        <v>0</v>
      </c>
      <c r="BI96" s="20">
        <f>F96*AP96</f>
        <v>0</v>
      </c>
      <c r="BJ96" s="20">
        <f>F96*G96</f>
        <v>0</v>
      </c>
    </row>
    <row r="97" spans="1:62" x14ac:dyDescent="0.25">
      <c r="A97" s="4" t="s">
        <v>42</v>
      </c>
      <c r="B97" s="4"/>
      <c r="C97" s="4" t="s">
        <v>185</v>
      </c>
      <c r="D97" s="4" t="s">
        <v>392</v>
      </c>
      <c r="E97" s="4" t="s">
        <v>591</v>
      </c>
      <c r="F97" s="20">
        <v>85.5</v>
      </c>
      <c r="G97" s="88"/>
      <c r="H97" s="20">
        <f>F97*AO97</f>
        <v>0</v>
      </c>
      <c r="I97" s="20">
        <f>F97*AP97</f>
        <v>0</v>
      </c>
      <c r="J97" s="20">
        <f>F97*G97</f>
        <v>0</v>
      </c>
      <c r="K97" s="41">
        <f>IF(J305=0,0,J97/J305)</f>
        <v>0</v>
      </c>
      <c r="L97" s="20">
        <v>3.1E-4</v>
      </c>
      <c r="M97" s="20">
        <f>F97*L97</f>
        <v>2.6505000000000001E-2</v>
      </c>
      <c r="N97" s="31" t="s">
        <v>620</v>
      </c>
      <c r="Z97" s="35">
        <f>IF(AQ97="5",BJ97,0)</f>
        <v>0</v>
      </c>
      <c r="AB97" s="35">
        <f>IF(AQ97="1",BH97,0)</f>
        <v>0</v>
      </c>
      <c r="AC97" s="35">
        <f>IF(AQ97="1",BI97,0)</f>
        <v>0</v>
      </c>
      <c r="AD97" s="35">
        <f>IF(AQ97="7",BH97,0)</f>
        <v>0</v>
      </c>
      <c r="AE97" s="35">
        <f>IF(AQ97="7",BI97,0)</f>
        <v>0</v>
      </c>
      <c r="AF97" s="35">
        <f>IF(AQ97="2",BH97,0)</f>
        <v>0</v>
      </c>
      <c r="AG97" s="35">
        <f>IF(AQ97="2",BI97,0)</f>
        <v>0</v>
      </c>
      <c r="AH97" s="35">
        <f>IF(AQ97="0",BJ97,0)</f>
        <v>0</v>
      </c>
      <c r="AI97" s="27"/>
      <c r="AJ97" s="20">
        <f>IF(AN97=0,J97,0)</f>
        <v>0</v>
      </c>
      <c r="AK97" s="20">
        <f>IF(AN97=15,J97,0)</f>
        <v>0</v>
      </c>
      <c r="AL97" s="20">
        <f>IF(AN97=21,J97,0)</f>
        <v>0</v>
      </c>
      <c r="AN97" s="35">
        <v>21</v>
      </c>
      <c r="AO97" s="35">
        <f>G97*0.858108108108108</f>
        <v>0</v>
      </c>
      <c r="AP97" s="35">
        <f>G97*(1-0.858108108108108)</f>
        <v>0</v>
      </c>
      <c r="AQ97" s="31" t="s">
        <v>7</v>
      </c>
      <c r="AV97" s="35">
        <f>AW97+AX97</f>
        <v>0</v>
      </c>
      <c r="AW97" s="35">
        <f>F97*AO97</f>
        <v>0</v>
      </c>
      <c r="AX97" s="35">
        <f>F97*AP97</f>
        <v>0</v>
      </c>
      <c r="AY97" s="36" t="s">
        <v>641</v>
      </c>
      <c r="AZ97" s="36" t="s">
        <v>672</v>
      </c>
      <c r="BA97" s="27" t="s">
        <v>681</v>
      </c>
      <c r="BC97" s="35">
        <f>AW97+AX97</f>
        <v>0</v>
      </c>
      <c r="BD97" s="35">
        <f>G97/(100-BE97)*100</f>
        <v>0</v>
      </c>
      <c r="BE97" s="35">
        <v>0</v>
      </c>
      <c r="BF97" s="35">
        <f>M97</f>
        <v>2.6505000000000001E-2</v>
      </c>
      <c r="BH97" s="20">
        <f>F97*AO97</f>
        <v>0</v>
      </c>
      <c r="BI97" s="20">
        <f>F97*AP97</f>
        <v>0</v>
      </c>
      <c r="BJ97" s="20">
        <f>F97*G97</f>
        <v>0</v>
      </c>
    </row>
    <row r="98" spans="1:62" x14ac:dyDescent="0.25">
      <c r="A98" s="4" t="s">
        <v>43</v>
      </c>
      <c r="B98" s="4"/>
      <c r="C98" s="4" t="s">
        <v>186</v>
      </c>
      <c r="D98" s="4" t="s">
        <v>393</v>
      </c>
      <c r="E98" s="4" t="s">
        <v>591</v>
      </c>
      <c r="F98" s="20">
        <v>28.5</v>
      </c>
      <c r="G98" s="88"/>
      <c r="H98" s="20">
        <f>F98*AO98</f>
        <v>0</v>
      </c>
      <c r="I98" s="20">
        <f>F98*AP98</f>
        <v>0</v>
      </c>
      <c r="J98" s="20">
        <f>F98*G98</f>
        <v>0</v>
      </c>
      <c r="K98" s="41">
        <f>IF(J305=0,0,J98/J305)</f>
        <v>0</v>
      </c>
      <c r="L98" s="20">
        <v>9.2799999999999994E-2</v>
      </c>
      <c r="M98" s="20">
        <f>F98*L98</f>
        <v>2.6448</v>
      </c>
      <c r="N98" s="31" t="s">
        <v>620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27"/>
      <c r="AJ98" s="20">
        <f>IF(AN98=0,J98,0)</f>
        <v>0</v>
      </c>
      <c r="AK98" s="20">
        <f>IF(AN98=15,J98,0)</f>
        <v>0</v>
      </c>
      <c r="AL98" s="20">
        <f>IF(AN98=21,J98,0)</f>
        <v>0</v>
      </c>
      <c r="AN98" s="35">
        <v>21</v>
      </c>
      <c r="AO98" s="35">
        <f>G98*0.934647302904564</f>
        <v>0</v>
      </c>
      <c r="AP98" s="35">
        <f>G98*(1-0.934647302904564)</f>
        <v>0</v>
      </c>
      <c r="AQ98" s="31" t="s">
        <v>7</v>
      </c>
      <c r="AV98" s="35">
        <f>AW98+AX98</f>
        <v>0</v>
      </c>
      <c r="AW98" s="35">
        <f>F98*AO98</f>
        <v>0</v>
      </c>
      <c r="AX98" s="35">
        <f>F98*AP98</f>
        <v>0</v>
      </c>
      <c r="AY98" s="36" t="s">
        <v>641</v>
      </c>
      <c r="AZ98" s="36" t="s">
        <v>672</v>
      </c>
      <c r="BA98" s="27" t="s">
        <v>681</v>
      </c>
      <c r="BC98" s="35">
        <f>AW98+AX98</f>
        <v>0</v>
      </c>
      <c r="BD98" s="35">
        <f>G98/(100-BE98)*100</f>
        <v>0</v>
      </c>
      <c r="BE98" s="35">
        <v>0</v>
      </c>
      <c r="BF98" s="35">
        <f>M98</f>
        <v>2.6448</v>
      </c>
      <c r="BH98" s="20">
        <f>F98*AO98</f>
        <v>0</v>
      </c>
      <c r="BI98" s="20">
        <f>F98*AP98</f>
        <v>0</v>
      </c>
      <c r="BJ98" s="20">
        <f>F98*G98</f>
        <v>0</v>
      </c>
    </row>
    <row r="99" spans="1:62" x14ac:dyDescent="0.25">
      <c r="A99" s="4" t="s">
        <v>44</v>
      </c>
      <c r="B99" s="4"/>
      <c r="C99" s="4" t="s">
        <v>187</v>
      </c>
      <c r="D99" s="4" t="s">
        <v>394</v>
      </c>
      <c r="E99" s="4" t="s">
        <v>591</v>
      </c>
      <c r="F99" s="20">
        <v>28.5</v>
      </c>
      <c r="G99" s="88"/>
      <c r="H99" s="20">
        <f>F99*AO99</f>
        <v>0</v>
      </c>
      <c r="I99" s="20">
        <f>F99*AP99</f>
        <v>0</v>
      </c>
      <c r="J99" s="20">
        <f>F99*G99</f>
        <v>0</v>
      </c>
      <c r="K99" s="41">
        <f>IF(J305=0,0,J99/J305)</f>
        <v>0</v>
      </c>
      <c r="L99" s="20">
        <v>0.20746000000000001</v>
      </c>
      <c r="M99" s="20">
        <f>F99*L99</f>
        <v>5.9126099999999999</v>
      </c>
      <c r="N99" s="31" t="s">
        <v>620</v>
      </c>
      <c r="Z99" s="35">
        <f>IF(AQ99="5",BJ99,0)</f>
        <v>0</v>
      </c>
      <c r="AB99" s="35">
        <f>IF(AQ99="1",BH99,0)</f>
        <v>0</v>
      </c>
      <c r="AC99" s="35">
        <f>IF(AQ99="1",BI99,0)</f>
        <v>0</v>
      </c>
      <c r="AD99" s="35">
        <f>IF(AQ99="7",BH99,0)</f>
        <v>0</v>
      </c>
      <c r="AE99" s="35">
        <f>IF(AQ99="7",BI99,0)</f>
        <v>0</v>
      </c>
      <c r="AF99" s="35">
        <f>IF(AQ99="2",BH99,0)</f>
        <v>0</v>
      </c>
      <c r="AG99" s="35">
        <f>IF(AQ99="2",BI99,0)</f>
        <v>0</v>
      </c>
      <c r="AH99" s="35">
        <f>IF(AQ99="0",BJ99,0)</f>
        <v>0</v>
      </c>
      <c r="AI99" s="27"/>
      <c r="AJ99" s="20">
        <f>IF(AN99=0,J99,0)</f>
        <v>0</v>
      </c>
      <c r="AK99" s="20">
        <f>IF(AN99=15,J99,0)</f>
        <v>0</v>
      </c>
      <c r="AL99" s="20">
        <f>IF(AN99=21,J99,0)</f>
        <v>0</v>
      </c>
      <c r="AN99" s="35">
        <v>21</v>
      </c>
      <c r="AO99" s="35">
        <f>G99*0.923024118738404</f>
        <v>0</v>
      </c>
      <c r="AP99" s="35">
        <f>G99*(1-0.923024118738404)</f>
        <v>0</v>
      </c>
      <c r="AQ99" s="31" t="s">
        <v>7</v>
      </c>
      <c r="AV99" s="35">
        <f>AW99+AX99</f>
        <v>0</v>
      </c>
      <c r="AW99" s="35">
        <f>F99*AO99</f>
        <v>0</v>
      </c>
      <c r="AX99" s="35">
        <f>F99*AP99</f>
        <v>0</v>
      </c>
      <c r="AY99" s="36" t="s">
        <v>641</v>
      </c>
      <c r="AZ99" s="36" t="s">
        <v>672</v>
      </c>
      <c r="BA99" s="27" t="s">
        <v>681</v>
      </c>
      <c r="BC99" s="35">
        <f>AW99+AX99</f>
        <v>0</v>
      </c>
      <c r="BD99" s="35">
        <f>G99/(100-BE99)*100</f>
        <v>0</v>
      </c>
      <c r="BE99" s="35">
        <v>0</v>
      </c>
      <c r="BF99" s="35">
        <f>M99</f>
        <v>5.9126099999999999</v>
      </c>
      <c r="BH99" s="20">
        <f>F99*AO99</f>
        <v>0</v>
      </c>
      <c r="BI99" s="20">
        <f>F99*AP99</f>
        <v>0</v>
      </c>
      <c r="BJ99" s="20">
        <f>F99*G99</f>
        <v>0</v>
      </c>
    </row>
    <row r="100" spans="1:62" x14ac:dyDescent="0.25">
      <c r="A100" s="4" t="s">
        <v>45</v>
      </c>
      <c r="B100" s="4"/>
      <c r="C100" s="4" t="s">
        <v>188</v>
      </c>
      <c r="D100" s="4" t="s">
        <v>395</v>
      </c>
      <c r="E100" s="4" t="s">
        <v>591</v>
      </c>
      <c r="F100" s="20">
        <v>28.5</v>
      </c>
      <c r="G100" s="88"/>
      <c r="H100" s="20">
        <f>F100*AO100</f>
        <v>0</v>
      </c>
      <c r="I100" s="20">
        <f>F100*AP100</f>
        <v>0</v>
      </c>
      <c r="J100" s="20">
        <f>F100*G100</f>
        <v>0</v>
      </c>
      <c r="K100" s="41">
        <f>IF(J305=0,0,J100/J305)</f>
        <v>0</v>
      </c>
      <c r="L100" s="20">
        <v>0.23072999999999999</v>
      </c>
      <c r="M100" s="20">
        <f>F100*L100</f>
        <v>6.5758049999999999</v>
      </c>
      <c r="N100" s="31" t="s">
        <v>620</v>
      </c>
      <c r="Z100" s="35">
        <f>IF(AQ100="5",BJ100,0)</f>
        <v>0</v>
      </c>
      <c r="AB100" s="35">
        <f>IF(AQ100="1",BH100,0)</f>
        <v>0</v>
      </c>
      <c r="AC100" s="35">
        <f>IF(AQ100="1",BI100,0)</f>
        <v>0</v>
      </c>
      <c r="AD100" s="35">
        <f>IF(AQ100="7",BH100,0)</f>
        <v>0</v>
      </c>
      <c r="AE100" s="35">
        <f>IF(AQ100="7",BI100,0)</f>
        <v>0</v>
      </c>
      <c r="AF100" s="35">
        <f>IF(AQ100="2",BH100,0)</f>
        <v>0</v>
      </c>
      <c r="AG100" s="35">
        <f>IF(AQ100="2",BI100,0)</f>
        <v>0</v>
      </c>
      <c r="AH100" s="35">
        <f>IF(AQ100="0",BJ100,0)</f>
        <v>0</v>
      </c>
      <c r="AI100" s="27"/>
      <c r="AJ100" s="20">
        <f>IF(AN100=0,J100,0)</f>
        <v>0</v>
      </c>
      <c r="AK100" s="20">
        <f>IF(AN100=15,J100,0)</f>
        <v>0</v>
      </c>
      <c r="AL100" s="20">
        <f>IF(AN100=21,J100,0)</f>
        <v>0</v>
      </c>
      <c r="AN100" s="35">
        <v>21</v>
      </c>
      <c r="AO100" s="35">
        <f>G100*0.865037037037037</f>
        <v>0</v>
      </c>
      <c r="AP100" s="35">
        <f>G100*(1-0.865037037037037)</f>
        <v>0</v>
      </c>
      <c r="AQ100" s="31" t="s">
        <v>7</v>
      </c>
      <c r="AV100" s="35">
        <f>AW100+AX100</f>
        <v>0</v>
      </c>
      <c r="AW100" s="35">
        <f>F100*AO100</f>
        <v>0</v>
      </c>
      <c r="AX100" s="35">
        <f>F100*AP100</f>
        <v>0</v>
      </c>
      <c r="AY100" s="36" t="s">
        <v>641</v>
      </c>
      <c r="AZ100" s="36" t="s">
        <v>672</v>
      </c>
      <c r="BA100" s="27" t="s">
        <v>681</v>
      </c>
      <c r="BC100" s="35">
        <f>AW100+AX100</f>
        <v>0</v>
      </c>
      <c r="BD100" s="35">
        <f>G100/(100-BE100)*100</f>
        <v>0</v>
      </c>
      <c r="BE100" s="35">
        <v>0</v>
      </c>
      <c r="BF100" s="35">
        <f>M100</f>
        <v>6.5758049999999999</v>
      </c>
      <c r="BH100" s="20">
        <f>F100*AO100</f>
        <v>0</v>
      </c>
      <c r="BI100" s="20">
        <f>F100*AP100</f>
        <v>0</v>
      </c>
      <c r="BJ100" s="20">
        <f>F100*G100</f>
        <v>0</v>
      </c>
    </row>
    <row r="101" spans="1:62" x14ac:dyDescent="0.25">
      <c r="A101" s="5"/>
      <c r="B101" s="13"/>
      <c r="C101" s="13" t="s">
        <v>65</v>
      </c>
      <c r="D101" s="13" t="s">
        <v>396</v>
      </c>
      <c r="E101" s="5" t="s">
        <v>6</v>
      </c>
      <c r="F101" s="5" t="s">
        <v>6</v>
      </c>
      <c r="G101" s="90" t="s">
        <v>6</v>
      </c>
      <c r="H101" s="38">
        <f>SUM(H102:H105)</f>
        <v>0</v>
      </c>
      <c r="I101" s="38">
        <f>SUM(I102:I105)</f>
        <v>0</v>
      </c>
      <c r="J101" s="38">
        <f>SUM(J102:J105)</f>
        <v>0</v>
      </c>
      <c r="K101" s="42">
        <f>IF(J305=0,0,J101/J305)</f>
        <v>0</v>
      </c>
      <c r="L101" s="27"/>
      <c r="M101" s="38">
        <f>SUM(M102:M105)</f>
        <v>8.8851000000000013</v>
      </c>
      <c r="N101" s="27"/>
      <c r="AI101" s="27"/>
      <c r="AS101" s="38">
        <f>SUM(AJ102:AJ105)</f>
        <v>0</v>
      </c>
      <c r="AT101" s="38">
        <f>SUM(AK102:AK105)</f>
        <v>0</v>
      </c>
      <c r="AU101" s="38">
        <f>SUM(AL102:AL105)</f>
        <v>0</v>
      </c>
    </row>
    <row r="102" spans="1:62" x14ac:dyDescent="0.25">
      <c r="A102" s="4" t="s">
        <v>46</v>
      </c>
      <c r="B102" s="4"/>
      <c r="C102" s="4" t="s">
        <v>189</v>
      </c>
      <c r="D102" s="4" t="s">
        <v>397</v>
      </c>
      <c r="E102" s="4" t="s">
        <v>597</v>
      </c>
      <c r="F102" s="20">
        <v>35</v>
      </c>
      <c r="G102" s="88"/>
      <c r="H102" s="20">
        <f>F102*AO102</f>
        <v>0</v>
      </c>
      <c r="I102" s="20">
        <f>F102*AP102</f>
        <v>0</v>
      </c>
      <c r="J102" s="20">
        <f>F102*G102</f>
        <v>0</v>
      </c>
      <c r="K102" s="41">
        <f>IF(J305=0,0,J102/J305)</f>
        <v>0</v>
      </c>
      <c r="L102" s="20">
        <v>0.24664</v>
      </c>
      <c r="M102" s="20">
        <f>F102*L102</f>
        <v>8.6324000000000005</v>
      </c>
      <c r="N102" s="31" t="s">
        <v>620</v>
      </c>
      <c r="Z102" s="35">
        <f>IF(AQ102="5",BJ102,0)</f>
        <v>0</v>
      </c>
      <c r="AB102" s="35">
        <f>IF(AQ102="1",BH102,0)</f>
        <v>0</v>
      </c>
      <c r="AC102" s="35">
        <f>IF(AQ102="1",BI102,0)</f>
        <v>0</v>
      </c>
      <c r="AD102" s="35">
        <f>IF(AQ102="7",BH102,0)</f>
        <v>0</v>
      </c>
      <c r="AE102" s="35">
        <f>IF(AQ102="7",BI102,0)</f>
        <v>0</v>
      </c>
      <c r="AF102" s="35">
        <f>IF(AQ102="2",BH102,0)</f>
        <v>0</v>
      </c>
      <c r="AG102" s="35">
        <f>IF(AQ102="2",BI102,0)</f>
        <v>0</v>
      </c>
      <c r="AH102" s="35">
        <f>IF(AQ102="0",BJ102,0)</f>
        <v>0</v>
      </c>
      <c r="AI102" s="27"/>
      <c r="AJ102" s="20">
        <f>IF(AN102=0,J102,0)</f>
        <v>0</v>
      </c>
      <c r="AK102" s="20">
        <f>IF(AN102=15,J102,0)</f>
        <v>0</v>
      </c>
      <c r="AL102" s="20">
        <f>IF(AN102=21,J102,0)</f>
        <v>0</v>
      </c>
      <c r="AN102" s="35">
        <v>21</v>
      </c>
      <c r="AO102" s="35">
        <f>G102*0.867186580341377</f>
        <v>0</v>
      </c>
      <c r="AP102" s="35">
        <f>G102*(1-0.867186580341377)</f>
        <v>0</v>
      </c>
      <c r="AQ102" s="31" t="s">
        <v>7</v>
      </c>
      <c r="AV102" s="35">
        <f>AW102+AX102</f>
        <v>0</v>
      </c>
      <c r="AW102" s="35">
        <f>F102*AO102</f>
        <v>0</v>
      </c>
      <c r="AX102" s="35">
        <f>F102*AP102</f>
        <v>0</v>
      </c>
      <c r="AY102" s="36" t="s">
        <v>642</v>
      </c>
      <c r="AZ102" s="36" t="s">
        <v>672</v>
      </c>
      <c r="BA102" s="27" t="s">
        <v>681</v>
      </c>
      <c r="BC102" s="35">
        <f>AW102+AX102</f>
        <v>0</v>
      </c>
      <c r="BD102" s="35">
        <f>G102/(100-BE102)*100</f>
        <v>0</v>
      </c>
      <c r="BE102" s="35">
        <v>0</v>
      </c>
      <c r="BF102" s="35">
        <f>M102</f>
        <v>8.6324000000000005</v>
      </c>
      <c r="BH102" s="20">
        <f>F102*AO102</f>
        <v>0</v>
      </c>
      <c r="BI102" s="20">
        <f>F102*AP102</f>
        <v>0</v>
      </c>
      <c r="BJ102" s="20">
        <f>F102*G102</f>
        <v>0</v>
      </c>
    </row>
    <row r="103" spans="1:62" x14ac:dyDescent="0.25">
      <c r="D103" s="17" t="s">
        <v>398</v>
      </c>
    </row>
    <row r="104" spans="1:62" x14ac:dyDescent="0.25">
      <c r="C104" s="14" t="s">
        <v>151</v>
      </c>
      <c r="D104" s="141" t="s">
        <v>399</v>
      </c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</row>
    <row r="105" spans="1:62" x14ac:dyDescent="0.25">
      <c r="A105" s="6" t="s">
        <v>47</v>
      </c>
      <c r="B105" s="6"/>
      <c r="C105" s="6" t="s">
        <v>190</v>
      </c>
      <c r="D105" s="6" t="s">
        <v>400</v>
      </c>
      <c r="E105" s="6" t="s">
        <v>597</v>
      </c>
      <c r="F105" s="21">
        <v>35</v>
      </c>
      <c r="G105" s="91"/>
      <c r="H105" s="21">
        <f>F105*AO105</f>
        <v>0</v>
      </c>
      <c r="I105" s="21">
        <f>F105*AP105</f>
        <v>0</v>
      </c>
      <c r="J105" s="21">
        <f>F105*G105</f>
        <v>0</v>
      </c>
      <c r="K105" s="43">
        <f>IF(J305=0,0,J105/J305)</f>
        <v>0</v>
      </c>
      <c r="L105" s="21">
        <v>7.2199999999999999E-3</v>
      </c>
      <c r="M105" s="21">
        <f>F105*L105</f>
        <v>0.25269999999999998</v>
      </c>
      <c r="N105" s="32" t="s">
        <v>620</v>
      </c>
      <c r="Z105" s="35">
        <f>IF(AQ105="5",BJ105,0)</f>
        <v>0</v>
      </c>
      <c r="AB105" s="35">
        <f>IF(AQ105="1",BH105,0)</f>
        <v>0</v>
      </c>
      <c r="AC105" s="35">
        <f>IF(AQ105="1",BI105,0)</f>
        <v>0</v>
      </c>
      <c r="AD105" s="35">
        <f>IF(AQ105="7",BH105,0)</f>
        <v>0</v>
      </c>
      <c r="AE105" s="35">
        <f>IF(AQ105="7",BI105,0)</f>
        <v>0</v>
      </c>
      <c r="AF105" s="35">
        <f>IF(AQ105="2",BH105,0)</f>
        <v>0</v>
      </c>
      <c r="AG105" s="35">
        <f>IF(AQ105="2",BI105,0)</f>
        <v>0</v>
      </c>
      <c r="AH105" s="35">
        <f>IF(AQ105="0",BJ105,0)</f>
        <v>0</v>
      </c>
      <c r="AI105" s="27"/>
      <c r="AJ105" s="21">
        <f>IF(AN105=0,J105,0)</f>
        <v>0</v>
      </c>
      <c r="AK105" s="21">
        <f>IF(AN105=15,J105,0)</f>
        <v>0</v>
      </c>
      <c r="AL105" s="21">
        <f>IF(AN105=21,J105,0)</f>
        <v>0</v>
      </c>
      <c r="AN105" s="35">
        <v>21</v>
      </c>
      <c r="AO105" s="35">
        <f>G105*1</f>
        <v>0</v>
      </c>
      <c r="AP105" s="35">
        <f>G105*(1-1)</f>
        <v>0</v>
      </c>
      <c r="AQ105" s="32" t="s">
        <v>7</v>
      </c>
      <c r="AV105" s="35">
        <f>AW105+AX105</f>
        <v>0</v>
      </c>
      <c r="AW105" s="35">
        <f>F105*AO105</f>
        <v>0</v>
      </c>
      <c r="AX105" s="35">
        <f>F105*AP105</f>
        <v>0</v>
      </c>
      <c r="AY105" s="36" t="s">
        <v>642</v>
      </c>
      <c r="AZ105" s="36" t="s">
        <v>672</v>
      </c>
      <c r="BA105" s="27" t="s">
        <v>681</v>
      </c>
      <c r="BC105" s="35">
        <f>AW105+AX105</f>
        <v>0</v>
      </c>
      <c r="BD105" s="35">
        <f>G105/(100-BE105)*100</f>
        <v>0</v>
      </c>
      <c r="BE105" s="35">
        <v>0</v>
      </c>
      <c r="BF105" s="35">
        <f>M105</f>
        <v>0.25269999999999998</v>
      </c>
      <c r="BH105" s="21">
        <f>F105*AO105</f>
        <v>0</v>
      </c>
      <c r="BI105" s="21">
        <f>F105*AP105</f>
        <v>0</v>
      </c>
      <c r="BJ105" s="21">
        <f>F105*G105</f>
        <v>0</v>
      </c>
    </row>
    <row r="106" spans="1:62" ht="25.65" customHeight="1" x14ac:dyDescent="0.25">
      <c r="C106" s="14" t="s">
        <v>151</v>
      </c>
      <c r="D106" s="141" t="s">
        <v>401</v>
      </c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</row>
    <row r="107" spans="1:62" x14ac:dyDescent="0.25">
      <c r="A107" s="5"/>
      <c r="B107" s="13"/>
      <c r="C107" s="13" t="s">
        <v>67</v>
      </c>
      <c r="D107" s="13" t="s">
        <v>402</v>
      </c>
      <c r="E107" s="5" t="s">
        <v>6</v>
      </c>
      <c r="F107" s="5" t="s">
        <v>6</v>
      </c>
      <c r="G107" s="90" t="s">
        <v>6</v>
      </c>
      <c r="H107" s="38">
        <f>SUM(H108:H116)</f>
        <v>0</v>
      </c>
      <c r="I107" s="38">
        <f>SUM(I108:I116)</f>
        <v>0</v>
      </c>
      <c r="J107" s="38">
        <f>SUM(J108:J116)</f>
        <v>0</v>
      </c>
      <c r="K107" s="42">
        <f>IF(J305=0,0,J107/J305)</f>
        <v>0</v>
      </c>
      <c r="L107" s="27"/>
      <c r="M107" s="38">
        <f>SUM(M108:M116)</f>
        <v>29.028143550000003</v>
      </c>
      <c r="N107" s="27"/>
      <c r="AI107" s="27"/>
      <c r="AS107" s="38">
        <f>SUM(AJ108:AJ116)</f>
        <v>0</v>
      </c>
      <c r="AT107" s="38">
        <f>SUM(AK108:AK116)</f>
        <v>0</v>
      </c>
      <c r="AU107" s="38">
        <f>SUM(AL108:AL116)</f>
        <v>0</v>
      </c>
    </row>
    <row r="108" spans="1:62" x14ac:dyDescent="0.25">
      <c r="A108" s="4" t="s">
        <v>48</v>
      </c>
      <c r="B108" s="4"/>
      <c r="C108" s="4" t="s">
        <v>191</v>
      </c>
      <c r="D108" s="4" t="s">
        <v>403</v>
      </c>
      <c r="E108" s="4" t="s">
        <v>591</v>
      </c>
      <c r="F108" s="20">
        <v>125.251</v>
      </c>
      <c r="G108" s="88"/>
      <c r="H108" s="20">
        <f>F108*AO108</f>
        <v>0</v>
      </c>
      <c r="I108" s="20">
        <f>F108*AP108</f>
        <v>0</v>
      </c>
      <c r="J108" s="20">
        <f>F108*G108</f>
        <v>0</v>
      </c>
      <c r="K108" s="41">
        <f>IF(J305=0,0,J108/J305)</f>
        <v>0</v>
      </c>
      <c r="L108" s="20">
        <v>5.6050000000000003E-2</v>
      </c>
      <c r="M108" s="20">
        <f>F108*L108</f>
        <v>7.0203185500000007</v>
      </c>
      <c r="N108" s="31" t="s">
        <v>620</v>
      </c>
      <c r="Z108" s="35">
        <f>IF(AQ108="5",BJ108,0)</f>
        <v>0</v>
      </c>
      <c r="AB108" s="35">
        <f>IF(AQ108="1",BH108,0)</f>
        <v>0</v>
      </c>
      <c r="AC108" s="35">
        <f>IF(AQ108="1",BI108,0)</f>
        <v>0</v>
      </c>
      <c r="AD108" s="35">
        <f>IF(AQ108="7",BH108,0)</f>
        <v>0</v>
      </c>
      <c r="AE108" s="35">
        <f>IF(AQ108="7",BI108,0)</f>
        <v>0</v>
      </c>
      <c r="AF108" s="35">
        <f>IF(AQ108="2",BH108,0)</f>
        <v>0</v>
      </c>
      <c r="AG108" s="35">
        <f>IF(AQ108="2",BI108,0)</f>
        <v>0</v>
      </c>
      <c r="AH108" s="35">
        <f>IF(AQ108="0",BJ108,0)</f>
        <v>0</v>
      </c>
      <c r="AI108" s="27"/>
      <c r="AJ108" s="20">
        <f>IF(AN108=0,J108,0)</f>
        <v>0</v>
      </c>
      <c r="AK108" s="20">
        <f>IF(AN108=15,J108,0)</f>
        <v>0</v>
      </c>
      <c r="AL108" s="20">
        <f>IF(AN108=21,J108,0)</f>
        <v>0</v>
      </c>
      <c r="AN108" s="35">
        <v>21</v>
      </c>
      <c r="AO108" s="35">
        <f>G108*0.142524003926053</f>
        <v>0</v>
      </c>
      <c r="AP108" s="35">
        <f>G108*(1-0.142524003926053)</f>
        <v>0</v>
      </c>
      <c r="AQ108" s="31" t="s">
        <v>7</v>
      </c>
      <c r="AV108" s="35">
        <f>AW108+AX108</f>
        <v>0</v>
      </c>
      <c r="AW108" s="35">
        <f>F108*AO108</f>
        <v>0</v>
      </c>
      <c r="AX108" s="35">
        <f>F108*AP108</f>
        <v>0</v>
      </c>
      <c r="AY108" s="36" t="s">
        <v>643</v>
      </c>
      <c r="AZ108" s="36" t="s">
        <v>673</v>
      </c>
      <c r="BA108" s="27" t="s">
        <v>681</v>
      </c>
      <c r="BC108" s="35">
        <f>AW108+AX108</f>
        <v>0</v>
      </c>
      <c r="BD108" s="35">
        <f>G108/(100-BE108)*100</f>
        <v>0</v>
      </c>
      <c r="BE108" s="35">
        <v>0</v>
      </c>
      <c r="BF108" s="35">
        <f>M108</f>
        <v>7.0203185500000007</v>
      </c>
      <c r="BH108" s="20">
        <f>F108*AO108</f>
        <v>0</v>
      </c>
      <c r="BI108" s="20">
        <f>F108*AP108</f>
        <v>0</v>
      </c>
      <c r="BJ108" s="20">
        <f>F108*G108</f>
        <v>0</v>
      </c>
    </row>
    <row r="109" spans="1:62" x14ac:dyDescent="0.25">
      <c r="C109" s="14" t="s">
        <v>151</v>
      </c>
      <c r="D109" s="141" t="s">
        <v>404</v>
      </c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</row>
    <row r="110" spans="1:62" x14ac:dyDescent="0.25">
      <c r="A110" s="4" t="s">
        <v>49</v>
      </c>
      <c r="B110" s="4"/>
      <c r="C110" s="4" t="s">
        <v>192</v>
      </c>
      <c r="D110" s="4" t="s">
        <v>405</v>
      </c>
      <c r="E110" s="4" t="s">
        <v>591</v>
      </c>
      <c r="F110" s="20">
        <v>37.299999999999997</v>
      </c>
      <c r="G110" s="88"/>
      <c r="H110" s="20">
        <f>F110*AO110</f>
        <v>0</v>
      </c>
      <c r="I110" s="20">
        <f>F110*AP110</f>
        <v>0</v>
      </c>
      <c r="J110" s="20">
        <f>F110*G110</f>
        <v>0</v>
      </c>
      <c r="K110" s="41">
        <f>IF(J305=0,0,J110/J305)</f>
        <v>0</v>
      </c>
      <c r="L110" s="20">
        <v>3.6139999999999999E-2</v>
      </c>
      <c r="M110" s="20">
        <f>F110*L110</f>
        <v>1.3480219999999998</v>
      </c>
      <c r="N110" s="31" t="s">
        <v>620</v>
      </c>
      <c r="Z110" s="35">
        <f>IF(AQ110="5",BJ110,0)</f>
        <v>0</v>
      </c>
      <c r="AB110" s="35">
        <f>IF(AQ110="1",BH110,0)</f>
        <v>0</v>
      </c>
      <c r="AC110" s="35">
        <f>IF(AQ110="1",BI110,0)</f>
        <v>0</v>
      </c>
      <c r="AD110" s="35">
        <f>IF(AQ110="7",BH110,0)</f>
        <v>0</v>
      </c>
      <c r="AE110" s="35">
        <f>IF(AQ110="7",BI110,0)</f>
        <v>0</v>
      </c>
      <c r="AF110" s="35">
        <f>IF(AQ110="2",BH110,0)</f>
        <v>0</v>
      </c>
      <c r="AG110" s="35">
        <f>IF(AQ110="2",BI110,0)</f>
        <v>0</v>
      </c>
      <c r="AH110" s="35">
        <f>IF(AQ110="0",BJ110,0)</f>
        <v>0</v>
      </c>
      <c r="AI110" s="27"/>
      <c r="AJ110" s="20">
        <f>IF(AN110=0,J110,0)</f>
        <v>0</v>
      </c>
      <c r="AK110" s="20">
        <f>IF(AN110=15,J110,0)</f>
        <v>0</v>
      </c>
      <c r="AL110" s="20">
        <f>IF(AN110=21,J110,0)</f>
        <v>0</v>
      </c>
      <c r="AN110" s="35">
        <v>21</v>
      </c>
      <c r="AO110" s="35">
        <f>G110*0.34785536159601</f>
        <v>0</v>
      </c>
      <c r="AP110" s="35">
        <f>G110*(1-0.34785536159601)</f>
        <v>0</v>
      </c>
      <c r="AQ110" s="31" t="s">
        <v>7</v>
      </c>
      <c r="AV110" s="35">
        <f>AW110+AX110</f>
        <v>0</v>
      </c>
      <c r="AW110" s="35">
        <f>F110*AO110</f>
        <v>0</v>
      </c>
      <c r="AX110" s="35">
        <f>F110*AP110</f>
        <v>0</v>
      </c>
      <c r="AY110" s="36" t="s">
        <v>643</v>
      </c>
      <c r="AZ110" s="36" t="s">
        <v>673</v>
      </c>
      <c r="BA110" s="27" t="s">
        <v>681</v>
      </c>
      <c r="BC110" s="35">
        <f>AW110+AX110</f>
        <v>0</v>
      </c>
      <c r="BD110" s="35">
        <f>G110/(100-BE110)*100</f>
        <v>0</v>
      </c>
      <c r="BE110" s="35">
        <v>0</v>
      </c>
      <c r="BF110" s="35">
        <f>M110</f>
        <v>1.3480219999999998</v>
      </c>
      <c r="BH110" s="20">
        <f>F110*AO110</f>
        <v>0</v>
      </c>
      <c r="BI110" s="20">
        <f>F110*AP110</f>
        <v>0</v>
      </c>
      <c r="BJ110" s="20">
        <f>F110*G110</f>
        <v>0</v>
      </c>
    </row>
    <row r="111" spans="1:62" x14ac:dyDescent="0.25">
      <c r="D111" s="17" t="s">
        <v>337</v>
      </c>
    </row>
    <row r="112" spans="1:62" x14ac:dyDescent="0.25">
      <c r="C112" s="14" t="s">
        <v>151</v>
      </c>
      <c r="D112" s="141" t="s">
        <v>338</v>
      </c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</row>
    <row r="113" spans="1:62" x14ac:dyDescent="0.25">
      <c r="A113" s="4" t="s">
        <v>50</v>
      </c>
      <c r="B113" s="4"/>
      <c r="C113" s="4" t="s">
        <v>193</v>
      </c>
      <c r="D113" s="4" t="s">
        <v>406</v>
      </c>
      <c r="E113" s="4" t="s">
        <v>591</v>
      </c>
      <c r="F113" s="20">
        <v>37.299999999999997</v>
      </c>
      <c r="G113" s="88"/>
      <c r="H113" s="20">
        <f>F113*AO113</f>
        <v>0</v>
      </c>
      <c r="I113" s="20">
        <f>F113*AP113</f>
        <v>0</v>
      </c>
      <c r="J113" s="20">
        <f>F113*G113</f>
        <v>0</v>
      </c>
      <c r="K113" s="41">
        <f>IF(J305=0,0,J113/J305)</f>
        <v>0</v>
      </c>
      <c r="L113" s="20">
        <v>4.1099999999999999E-3</v>
      </c>
      <c r="M113" s="20">
        <f>F113*L113</f>
        <v>0.15330299999999999</v>
      </c>
      <c r="N113" s="31" t="s">
        <v>620</v>
      </c>
      <c r="Z113" s="35">
        <f>IF(AQ113="5",BJ113,0)</f>
        <v>0</v>
      </c>
      <c r="AB113" s="35">
        <f>IF(AQ113="1",BH113,0)</f>
        <v>0</v>
      </c>
      <c r="AC113" s="35">
        <f>IF(AQ113="1",BI113,0)</f>
        <v>0</v>
      </c>
      <c r="AD113" s="35">
        <f>IF(AQ113="7",BH113,0)</f>
        <v>0</v>
      </c>
      <c r="AE113" s="35">
        <f>IF(AQ113="7",BI113,0)</f>
        <v>0</v>
      </c>
      <c r="AF113" s="35">
        <f>IF(AQ113="2",BH113,0)</f>
        <v>0</v>
      </c>
      <c r="AG113" s="35">
        <f>IF(AQ113="2",BI113,0)</f>
        <v>0</v>
      </c>
      <c r="AH113" s="35">
        <f>IF(AQ113="0",BJ113,0)</f>
        <v>0</v>
      </c>
      <c r="AI113" s="27"/>
      <c r="AJ113" s="20">
        <f>IF(AN113=0,J113,0)</f>
        <v>0</v>
      </c>
      <c r="AK113" s="20">
        <f>IF(AN113=15,J113,0)</f>
        <v>0</v>
      </c>
      <c r="AL113" s="20">
        <f>IF(AN113=21,J113,0)</f>
        <v>0</v>
      </c>
      <c r="AN113" s="35">
        <v>21</v>
      </c>
      <c r="AO113" s="35">
        <f>G113*0.235366269165247</f>
        <v>0</v>
      </c>
      <c r="AP113" s="35">
        <f>G113*(1-0.235366269165247)</f>
        <v>0</v>
      </c>
      <c r="AQ113" s="31" t="s">
        <v>7</v>
      </c>
      <c r="AV113" s="35">
        <f>AW113+AX113</f>
        <v>0</v>
      </c>
      <c r="AW113" s="35">
        <f>F113*AO113</f>
        <v>0</v>
      </c>
      <c r="AX113" s="35">
        <f>F113*AP113</f>
        <v>0</v>
      </c>
      <c r="AY113" s="36" t="s">
        <v>643</v>
      </c>
      <c r="AZ113" s="36" t="s">
        <v>673</v>
      </c>
      <c r="BA113" s="27" t="s">
        <v>681</v>
      </c>
      <c r="BC113" s="35">
        <f>AW113+AX113</f>
        <v>0</v>
      </c>
      <c r="BD113" s="35">
        <f>G113/(100-BE113)*100</f>
        <v>0</v>
      </c>
      <c r="BE113" s="35">
        <v>0</v>
      </c>
      <c r="BF113" s="35">
        <f>M113</f>
        <v>0.15330299999999999</v>
      </c>
      <c r="BH113" s="20">
        <f>F113*AO113</f>
        <v>0</v>
      </c>
      <c r="BI113" s="20">
        <f>F113*AP113</f>
        <v>0</v>
      </c>
      <c r="BJ113" s="20">
        <f>F113*G113</f>
        <v>0</v>
      </c>
    </row>
    <row r="114" spans="1:62" x14ac:dyDescent="0.25">
      <c r="D114" s="17" t="s">
        <v>407</v>
      </c>
    </row>
    <row r="115" spans="1:62" x14ac:dyDescent="0.25">
      <c r="C115" s="14" t="s">
        <v>151</v>
      </c>
      <c r="D115" s="141" t="s">
        <v>408</v>
      </c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</row>
    <row r="116" spans="1:62" x14ac:dyDescent="0.25">
      <c r="A116" s="4" t="s">
        <v>51</v>
      </c>
      <c r="B116" s="4"/>
      <c r="C116" s="4" t="s">
        <v>194</v>
      </c>
      <c r="D116" s="4" t="s">
        <v>409</v>
      </c>
      <c r="E116" s="4" t="s">
        <v>594</v>
      </c>
      <c r="F116" s="20">
        <v>350</v>
      </c>
      <c r="G116" s="88"/>
      <c r="H116" s="20">
        <f>F116*AO116</f>
        <v>0</v>
      </c>
      <c r="I116" s="20">
        <f>F116*AP116</f>
        <v>0</v>
      </c>
      <c r="J116" s="20">
        <f>F116*G116</f>
        <v>0</v>
      </c>
      <c r="K116" s="41">
        <f>IF(J305=0,0,J116/J305)</f>
        <v>0</v>
      </c>
      <c r="L116" s="20">
        <v>5.8590000000000003E-2</v>
      </c>
      <c r="M116" s="20">
        <f>F116*L116</f>
        <v>20.506500000000003</v>
      </c>
      <c r="N116" s="31" t="s">
        <v>621</v>
      </c>
      <c r="Z116" s="35">
        <f>IF(AQ116="5",BJ116,0)</f>
        <v>0</v>
      </c>
      <c r="AB116" s="35">
        <f>IF(AQ116="1",BH116,0)</f>
        <v>0</v>
      </c>
      <c r="AC116" s="35">
        <f>IF(AQ116="1",BI116,0)</f>
        <v>0</v>
      </c>
      <c r="AD116" s="35">
        <f>IF(AQ116="7",BH116,0)</f>
        <v>0</v>
      </c>
      <c r="AE116" s="35">
        <f>IF(AQ116="7",BI116,0)</f>
        <v>0</v>
      </c>
      <c r="AF116" s="35">
        <f>IF(AQ116="2",BH116,0)</f>
        <v>0</v>
      </c>
      <c r="AG116" s="35">
        <f>IF(AQ116="2",BI116,0)</f>
        <v>0</v>
      </c>
      <c r="AH116" s="35">
        <f>IF(AQ116="0",BJ116,0)</f>
        <v>0</v>
      </c>
      <c r="AI116" s="27"/>
      <c r="AJ116" s="20">
        <f>IF(AN116=0,J116,0)</f>
        <v>0</v>
      </c>
      <c r="AK116" s="20">
        <f>IF(AN116=15,J116,0)</f>
        <v>0</v>
      </c>
      <c r="AL116" s="20">
        <f>IF(AN116=21,J116,0)</f>
        <v>0</v>
      </c>
      <c r="AN116" s="35">
        <v>21</v>
      </c>
      <c r="AO116" s="35">
        <f>G116*0.166791707798618</f>
        <v>0</v>
      </c>
      <c r="AP116" s="35">
        <f>G116*(1-0.166791707798618)</f>
        <v>0</v>
      </c>
      <c r="AQ116" s="31" t="s">
        <v>7</v>
      </c>
      <c r="AV116" s="35">
        <f>AW116+AX116</f>
        <v>0</v>
      </c>
      <c r="AW116" s="35">
        <f>F116*AO116</f>
        <v>0</v>
      </c>
      <c r="AX116" s="35">
        <f>F116*AP116</f>
        <v>0</v>
      </c>
      <c r="AY116" s="36" t="s">
        <v>643</v>
      </c>
      <c r="AZ116" s="36" t="s">
        <v>673</v>
      </c>
      <c r="BA116" s="27" t="s">
        <v>681</v>
      </c>
      <c r="BC116" s="35">
        <f>AW116+AX116</f>
        <v>0</v>
      </c>
      <c r="BD116" s="35">
        <f>G116/(100-BE116)*100</f>
        <v>0</v>
      </c>
      <c r="BE116" s="35">
        <v>0</v>
      </c>
      <c r="BF116" s="35">
        <f>M116</f>
        <v>20.506500000000003</v>
      </c>
      <c r="BH116" s="20">
        <f>F116*AO116</f>
        <v>0</v>
      </c>
      <c r="BI116" s="20">
        <f>F116*AP116</f>
        <v>0</v>
      </c>
      <c r="BJ116" s="20">
        <f>F116*G116</f>
        <v>0</v>
      </c>
    </row>
    <row r="117" spans="1:62" x14ac:dyDescent="0.25">
      <c r="D117" s="17" t="s">
        <v>410</v>
      </c>
    </row>
    <row r="118" spans="1:62" x14ac:dyDescent="0.25">
      <c r="A118" s="5"/>
      <c r="B118" s="13"/>
      <c r="C118" s="13" t="s">
        <v>69</v>
      </c>
      <c r="D118" s="13" t="s">
        <v>411</v>
      </c>
      <c r="E118" s="5" t="s">
        <v>6</v>
      </c>
      <c r="F118" s="5" t="s">
        <v>6</v>
      </c>
      <c r="G118" s="90" t="s">
        <v>6</v>
      </c>
      <c r="H118" s="38">
        <f>SUM(H119:H121)</f>
        <v>0</v>
      </c>
      <c r="I118" s="38">
        <f>SUM(I119:I121)</f>
        <v>0</v>
      </c>
      <c r="J118" s="38">
        <f>SUM(J119:J121)</f>
        <v>0</v>
      </c>
      <c r="K118" s="42">
        <f>IF(J305=0,0,J118/J305)</f>
        <v>0</v>
      </c>
      <c r="L118" s="27"/>
      <c r="M118" s="38">
        <f>SUM(M119:M121)</f>
        <v>61.824412500000001</v>
      </c>
      <c r="N118" s="27"/>
      <c r="AI118" s="27"/>
      <c r="AS118" s="38">
        <f>SUM(AJ119:AJ121)</f>
        <v>0</v>
      </c>
      <c r="AT118" s="38">
        <f>SUM(AK119:AK121)</f>
        <v>0</v>
      </c>
      <c r="AU118" s="38">
        <f>SUM(AL119:AL121)</f>
        <v>0</v>
      </c>
    </row>
    <row r="119" spans="1:62" x14ac:dyDescent="0.25">
      <c r="A119" s="4" t="s">
        <v>52</v>
      </c>
      <c r="B119" s="4"/>
      <c r="C119" s="4" t="s">
        <v>195</v>
      </c>
      <c r="D119" s="4" t="s">
        <v>412</v>
      </c>
      <c r="E119" s="4" t="s">
        <v>592</v>
      </c>
      <c r="F119" s="20">
        <v>24.2925</v>
      </c>
      <c r="G119" s="88"/>
      <c r="H119" s="20">
        <f>F119*AO119</f>
        <v>0</v>
      </c>
      <c r="I119" s="20">
        <f>F119*AP119</f>
        <v>0</v>
      </c>
      <c r="J119" s="20">
        <f>F119*G119</f>
        <v>0</v>
      </c>
      <c r="K119" s="41">
        <f>IF(J305=0,0,J119/J305)</f>
        <v>0</v>
      </c>
      <c r="L119" s="20">
        <v>2.5449999999999999</v>
      </c>
      <c r="M119" s="20">
        <f>F119*L119</f>
        <v>61.824412500000001</v>
      </c>
      <c r="N119" s="31" t="s">
        <v>620</v>
      </c>
      <c r="Z119" s="35">
        <f>IF(AQ119="5",BJ119,0)</f>
        <v>0</v>
      </c>
      <c r="AB119" s="35">
        <f>IF(AQ119="1",BH119,0)</f>
        <v>0</v>
      </c>
      <c r="AC119" s="35">
        <f>IF(AQ119="1",BI119,0)</f>
        <v>0</v>
      </c>
      <c r="AD119" s="35">
        <f>IF(AQ119="7",BH119,0)</f>
        <v>0</v>
      </c>
      <c r="AE119" s="35">
        <f>IF(AQ119="7",BI119,0)</f>
        <v>0</v>
      </c>
      <c r="AF119" s="35">
        <f>IF(AQ119="2",BH119,0)</f>
        <v>0</v>
      </c>
      <c r="AG119" s="35">
        <f>IF(AQ119="2",BI119,0)</f>
        <v>0</v>
      </c>
      <c r="AH119" s="35">
        <f>IF(AQ119="0",BJ119,0)</f>
        <v>0</v>
      </c>
      <c r="AI119" s="27"/>
      <c r="AJ119" s="20">
        <f>IF(AN119=0,J119,0)</f>
        <v>0</v>
      </c>
      <c r="AK119" s="20">
        <f>IF(AN119=15,J119,0)</f>
        <v>0</v>
      </c>
      <c r="AL119" s="20">
        <f>IF(AN119=21,J119,0)</f>
        <v>0</v>
      </c>
      <c r="AN119" s="35">
        <v>21</v>
      </c>
      <c r="AO119" s="35">
        <f>G119*0.76122905027933</f>
        <v>0</v>
      </c>
      <c r="AP119" s="35">
        <f>G119*(1-0.76122905027933)</f>
        <v>0</v>
      </c>
      <c r="AQ119" s="31" t="s">
        <v>7</v>
      </c>
      <c r="AV119" s="35">
        <f>AW119+AX119</f>
        <v>0</v>
      </c>
      <c r="AW119" s="35">
        <f>F119*AO119</f>
        <v>0</v>
      </c>
      <c r="AX119" s="35">
        <f>F119*AP119</f>
        <v>0</v>
      </c>
      <c r="AY119" s="36" t="s">
        <v>644</v>
      </c>
      <c r="AZ119" s="36" t="s">
        <v>673</v>
      </c>
      <c r="BA119" s="27" t="s">
        <v>681</v>
      </c>
      <c r="BC119" s="35">
        <f>AW119+AX119</f>
        <v>0</v>
      </c>
      <c r="BD119" s="35">
        <f>G119/(100-BE119)*100</f>
        <v>0</v>
      </c>
      <c r="BE119" s="35">
        <v>0</v>
      </c>
      <c r="BF119" s="35">
        <f>M119</f>
        <v>61.824412500000001</v>
      </c>
      <c r="BH119" s="20">
        <f>F119*AO119</f>
        <v>0</v>
      </c>
      <c r="BI119" s="20">
        <f>F119*AP119</f>
        <v>0</v>
      </c>
      <c r="BJ119" s="20">
        <f>F119*G119</f>
        <v>0</v>
      </c>
    </row>
    <row r="120" spans="1:62" ht="25.65" customHeight="1" x14ac:dyDescent="0.25">
      <c r="C120" s="14" t="s">
        <v>151</v>
      </c>
      <c r="D120" s="141" t="s">
        <v>413</v>
      </c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</row>
    <row r="121" spans="1:62" x14ac:dyDescent="0.25">
      <c r="A121" s="4" t="s">
        <v>53</v>
      </c>
      <c r="B121" s="4"/>
      <c r="C121" s="4" t="s">
        <v>196</v>
      </c>
      <c r="D121" s="4" t="s">
        <v>414</v>
      </c>
      <c r="E121" s="4" t="s">
        <v>591</v>
      </c>
      <c r="F121" s="20">
        <v>243.17</v>
      </c>
      <c r="G121" s="88"/>
      <c r="H121" s="20">
        <f>F121*AO121</f>
        <v>0</v>
      </c>
      <c r="I121" s="20">
        <f>F121*AP121</f>
        <v>0</v>
      </c>
      <c r="J121" s="20">
        <f>F121*G121</f>
        <v>0</v>
      </c>
      <c r="K121" s="41">
        <f>IF(J305=0,0,J121/J305)</f>
        <v>0</v>
      </c>
      <c r="L121" s="20">
        <v>0</v>
      </c>
      <c r="M121" s="20">
        <f>F121*L121</f>
        <v>0</v>
      </c>
      <c r="N121" s="31" t="s">
        <v>620</v>
      </c>
      <c r="Z121" s="35">
        <f>IF(AQ121="5",BJ121,0)</f>
        <v>0</v>
      </c>
      <c r="AB121" s="35">
        <f>IF(AQ121="1",BH121,0)</f>
        <v>0</v>
      </c>
      <c r="AC121" s="35">
        <f>IF(AQ121="1",BI121,0)</f>
        <v>0</v>
      </c>
      <c r="AD121" s="35">
        <f>IF(AQ121="7",BH121,0)</f>
        <v>0</v>
      </c>
      <c r="AE121" s="35">
        <f>IF(AQ121="7",BI121,0)</f>
        <v>0</v>
      </c>
      <c r="AF121" s="35">
        <f>IF(AQ121="2",BH121,0)</f>
        <v>0</v>
      </c>
      <c r="AG121" s="35">
        <f>IF(AQ121="2",BI121,0)</f>
        <v>0</v>
      </c>
      <c r="AH121" s="35">
        <f>IF(AQ121="0",BJ121,0)</f>
        <v>0</v>
      </c>
      <c r="AI121" s="27"/>
      <c r="AJ121" s="20">
        <f>IF(AN121=0,J121,0)</f>
        <v>0</v>
      </c>
      <c r="AK121" s="20">
        <f>IF(AN121=15,J121,0)</f>
        <v>0</v>
      </c>
      <c r="AL121" s="20">
        <f>IF(AN121=21,J121,0)</f>
        <v>0</v>
      </c>
      <c r="AN121" s="35">
        <v>21</v>
      </c>
      <c r="AO121" s="35">
        <f>G121*0.326405646181706</f>
        <v>0</v>
      </c>
      <c r="AP121" s="35">
        <f>G121*(1-0.326405646181706)</f>
        <v>0</v>
      </c>
      <c r="AQ121" s="31" t="s">
        <v>7</v>
      </c>
      <c r="AV121" s="35">
        <f>AW121+AX121</f>
        <v>0</v>
      </c>
      <c r="AW121" s="35">
        <f>F121*AO121</f>
        <v>0</v>
      </c>
      <c r="AX121" s="35">
        <f>F121*AP121</f>
        <v>0</v>
      </c>
      <c r="AY121" s="36" t="s">
        <v>644</v>
      </c>
      <c r="AZ121" s="36" t="s">
        <v>673</v>
      </c>
      <c r="BA121" s="27" t="s">
        <v>681</v>
      </c>
      <c r="BC121" s="35">
        <f>AW121+AX121</f>
        <v>0</v>
      </c>
      <c r="BD121" s="35">
        <f>G121/(100-BE121)*100</f>
        <v>0</v>
      </c>
      <c r="BE121" s="35">
        <v>0</v>
      </c>
      <c r="BF121" s="35">
        <f>M121</f>
        <v>0</v>
      </c>
      <c r="BH121" s="20">
        <f>F121*AO121</f>
        <v>0</v>
      </c>
      <c r="BI121" s="20">
        <f>F121*AP121</f>
        <v>0</v>
      </c>
      <c r="BJ121" s="20">
        <f>F121*G121</f>
        <v>0</v>
      </c>
    </row>
    <row r="122" spans="1:62" x14ac:dyDescent="0.25">
      <c r="A122" s="5"/>
      <c r="B122" s="13"/>
      <c r="C122" s="13" t="s">
        <v>70</v>
      </c>
      <c r="D122" s="13" t="s">
        <v>415</v>
      </c>
      <c r="E122" s="5" t="s">
        <v>6</v>
      </c>
      <c r="F122" s="5" t="s">
        <v>6</v>
      </c>
      <c r="G122" s="90" t="s">
        <v>6</v>
      </c>
      <c r="H122" s="38">
        <f>SUM(H123:H129)</f>
        <v>0</v>
      </c>
      <c r="I122" s="38">
        <f>SUM(I123:I129)</f>
        <v>0</v>
      </c>
      <c r="J122" s="38">
        <f>SUM(J123:J129)</f>
        <v>0</v>
      </c>
      <c r="K122" s="42">
        <f>IF(J305=0,0,J122/J305)</f>
        <v>0</v>
      </c>
      <c r="L122" s="27"/>
      <c r="M122" s="38">
        <f>SUM(M123:M129)</f>
        <v>5.5573899999999998</v>
      </c>
      <c r="N122" s="27"/>
      <c r="AI122" s="27"/>
      <c r="AS122" s="38">
        <f>SUM(AJ123:AJ129)</f>
        <v>0</v>
      </c>
      <c r="AT122" s="38">
        <f>SUM(AK123:AK129)</f>
        <v>0</v>
      </c>
      <c r="AU122" s="38">
        <f>SUM(AL123:AL129)</f>
        <v>0</v>
      </c>
    </row>
    <row r="123" spans="1:62" x14ac:dyDescent="0.25">
      <c r="A123" s="4" t="s">
        <v>54</v>
      </c>
      <c r="B123" s="4"/>
      <c r="C123" s="4" t="s">
        <v>197</v>
      </c>
      <c r="D123" s="4" t="s">
        <v>416</v>
      </c>
      <c r="E123" s="4" t="s">
        <v>597</v>
      </c>
      <c r="F123" s="20">
        <v>2</v>
      </c>
      <c r="G123" s="88"/>
      <c r="H123" s="20">
        <f>F123*AO123</f>
        <v>0</v>
      </c>
      <c r="I123" s="20">
        <f>F123*AP123</f>
        <v>0</v>
      </c>
      <c r="J123" s="20">
        <f>F123*G123</f>
        <v>0</v>
      </c>
      <c r="K123" s="41">
        <f>IF(J305=0,0,J123/J305)</f>
        <v>0</v>
      </c>
      <c r="L123" s="20">
        <v>3.083E-2</v>
      </c>
      <c r="M123" s="20">
        <f>F123*L123</f>
        <v>6.166E-2</v>
      </c>
      <c r="N123" s="31" t="s">
        <v>620</v>
      </c>
      <c r="Z123" s="35">
        <f>IF(AQ123="5",BJ123,0)</f>
        <v>0</v>
      </c>
      <c r="AB123" s="35">
        <f>IF(AQ123="1",BH123,0)</f>
        <v>0</v>
      </c>
      <c r="AC123" s="35">
        <f>IF(AQ123="1",BI123,0)</f>
        <v>0</v>
      </c>
      <c r="AD123" s="35">
        <f>IF(AQ123="7",BH123,0)</f>
        <v>0</v>
      </c>
      <c r="AE123" s="35">
        <f>IF(AQ123="7",BI123,0)</f>
        <v>0</v>
      </c>
      <c r="AF123" s="35">
        <f>IF(AQ123="2",BH123,0)</f>
        <v>0</v>
      </c>
      <c r="AG123" s="35">
        <f>IF(AQ123="2",BI123,0)</f>
        <v>0</v>
      </c>
      <c r="AH123" s="35">
        <f>IF(AQ123="0",BJ123,0)</f>
        <v>0</v>
      </c>
      <c r="AI123" s="27"/>
      <c r="AJ123" s="20">
        <f>IF(AN123=0,J123,0)</f>
        <v>0</v>
      </c>
      <c r="AK123" s="20">
        <f>IF(AN123=15,J123,0)</f>
        <v>0</v>
      </c>
      <c r="AL123" s="20">
        <f>IF(AN123=21,J123,0)</f>
        <v>0</v>
      </c>
      <c r="AN123" s="35">
        <v>21</v>
      </c>
      <c r="AO123" s="35">
        <f>G123*0.534739901258016</f>
        <v>0</v>
      </c>
      <c r="AP123" s="35">
        <f>G123*(1-0.534739901258016)</f>
        <v>0</v>
      </c>
      <c r="AQ123" s="31" t="s">
        <v>7</v>
      </c>
      <c r="AV123" s="35">
        <f>AW123+AX123</f>
        <v>0</v>
      </c>
      <c r="AW123" s="35">
        <f>F123*AO123</f>
        <v>0</v>
      </c>
      <c r="AX123" s="35">
        <f>F123*AP123</f>
        <v>0</v>
      </c>
      <c r="AY123" s="36" t="s">
        <v>645</v>
      </c>
      <c r="AZ123" s="36" t="s">
        <v>673</v>
      </c>
      <c r="BA123" s="27" t="s">
        <v>681</v>
      </c>
      <c r="BC123" s="35">
        <f>AW123+AX123</f>
        <v>0</v>
      </c>
      <c r="BD123" s="35">
        <f>G123/(100-BE123)*100</f>
        <v>0</v>
      </c>
      <c r="BE123" s="35">
        <v>0</v>
      </c>
      <c r="BF123" s="35">
        <f>M123</f>
        <v>6.166E-2</v>
      </c>
      <c r="BH123" s="20">
        <f>F123*AO123</f>
        <v>0</v>
      </c>
      <c r="BI123" s="20">
        <f>F123*AP123</f>
        <v>0</v>
      </c>
      <c r="BJ123" s="20">
        <f>F123*G123</f>
        <v>0</v>
      </c>
    </row>
    <row r="124" spans="1:62" ht="38.4" customHeight="1" x14ac:dyDescent="0.25">
      <c r="C124" s="14" t="s">
        <v>151</v>
      </c>
      <c r="D124" s="141" t="s">
        <v>417</v>
      </c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</row>
    <row r="125" spans="1:62" x14ac:dyDescent="0.25">
      <c r="D125" s="141" t="s">
        <v>418</v>
      </c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</row>
    <row r="126" spans="1:62" x14ac:dyDescent="0.25">
      <c r="A126" s="4" t="s">
        <v>55</v>
      </c>
      <c r="B126" s="4"/>
      <c r="C126" s="4" t="s">
        <v>198</v>
      </c>
      <c r="D126" s="4" t="s">
        <v>419</v>
      </c>
      <c r="E126" s="4" t="s">
        <v>597</v>
      </c>
      <c r="F126" s="20">
        <v>3</v>
      </c>
      <c r="G126" s="88"/>
      <c r="H126" s="20">
        <f>F126*AO126</f>
        <v>0</v>
      </c>
      <c r="I126" s="20">
        <f>F126*AP126</f>
        <v>0</v>
      </c>
      <c r="J126" s="20">
        <f>F126*G126</f>
        <v>0</v>
      </c>
      <c r="K126" s="41">
        <f>IF(J305=0,0,J126/J305)</f>
        <v>0</v>
      </c>
      <c r="L126" s="20">
        <v>3.1109999999999999E-2</v>
      </c>
      <c r="M126" s="20">
        <f>F126*L126</f>
        <v>9.3329999999999996E-2</v>
      </c>
      <c r="N126" s="31" t="s">
        <v>620</v>
      </c>
      <c r="Z126" s="35">
        <f>IF(AQ126="5",BJ126,0)</f>
        <v>0</v>
      </c>
      <c r="AB126" s="35">
        <f>IF(AQ126="1",BH126,0)</f>
        <v>0</v>
      </c>
      <c r="AC126" s="35">
        <f>IF(AQ126="1",BI126,0)</f>
        <v>0</v>
      </c>
      <c r="AD126" s="35">
        <f>IF(AQ126="7",BH126,0)</f>
        <v>0</v>
      </c>
      <c r="AE126" s="35">
        <f>IF(AQ126="7",BI126,0)</f>
        <v>0</v>
      </c>
      <c r="AF126" s="35">
        <f>IF(AQ126="2",BH126,0)</f>
        <v>0</v>
      </c>
      <c r="AG126" s="35">
        <f>IF(AQ126="2",BI126,0)</f>
        <v>0</v>
      </c>
      <c r="AH126" s="35">
        <f>IF(AQ126="0",BJ126,0)</f>
        <v>0</v>
      </c>
      <c r="AI126" s="27"/>
      <c r="AJ126" s="20">
        <f>IF(AN126=0,J126,0)</f>
        <v>0</v>
      </c>
      <c r="AK126" s="20">
        <f>IF(AN126=15,J126,0)</f>
        <v>0</v>
      </c>
      <c r="AL126" s="20">
        <f>IF(AN126=21,J126,0)</f>
        <v>0</v>
      </c>
      <c r="AN126" s="35">
        <v>21</v>
      </c>
      <c r="AO126" s="35">
        <f>G126*0.538174549543155</f>
        <v>0</v>
      </c>
      <c r="AP126" s="35">
        <f>G126*(1-0.538174549543155)</f>
        <v>0</v>
      </c>
      <c r="AQ126" s="31" t="s">
        <v>7</v>
      </c>
      <c r="AV126" s="35">
        <f>AW126+AX126</f>
        <v>0</v>
      </c>
      <c r="AW126" s="35">
        <f>F126*AO126</f>
        <v>0</v>
      </c>
      <c r="AX126" s="35">
        <f>F126*AP126</f>
        <v>0</v>
      </c>
      <c r="AY126" s="36" t="s">
        <v>645</v>
      </c>
      <c r="AZ126" s="36" t="s">
        <v>673</v>
      </c>
      <c r="BA126" s="27" t="s">
        <v>681</v>
      </c>
      <c r="BC126" s="35">
        <f>AW126+AX126</f>
        <v>0</v>
      </c>
      <c r="BD126" s="35">
        <f>G126/(100-BE126)*100</f>
        <v>0</v>
      </c>
      <c r="BE126" s="35">
        <v>0</v>
      </c>
      <c r="BF126" s="35">
        <f>M126</f>
        <v>9.3329999999999996E-2</v>
      </c>
      <c r="BH126" s="20">
        <f>F126*AO126</f>
        <v>0</v>
      </c>
      <c r="BI126" s="20">
        <f>F126*AP126</f>
        <v>0</v>
      </c>
      <c r="BJ126" s="20">
        <f>F126*G126</f>
        <v>0</v>
      </c>
    </row>
    <row r="127" spans="1:62" ht="38.4" customHeight="1" x14ac:dyDescent="0.25">
      <c r="C127" s="14" t="s">
        <v>151</v>
      </c>
      <c r="D127" s="141" t="s">
        <v>417</v>
      </c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</row>
    <row r="128" spans="1:62" x14ac:dyDescent="0.25">
      <c r="D128" s="141" t="s">
        <v>418</v>
      </c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</row>
    <row r="129" spans="1:62" x14ac:dyDescent="0.25">
      <c r="A129" s="4" t="s">
        <v>56</v>
      </c>
      <c r="B129" s="4"/>
      <c r="C129" s="4" t="s">
        <v>199</v>
      </c>
      <c r="D129" s="4" t="s">
        <v>420</v>
      </c>
      <c r="E129" s="4" t="s">
        <v>597</v>
      </c>
      <c r="F129" s="20">
        <v>5</v>
      </c>
      <c r="G129" s="88"/>
      <c r="H129" s="20">
        <f>F129*AO129</f>
        <v>0</v>
      </c>
      <c r="I129" s="20">
        <f>F129*AP129</f>
        <v>0</v>
      </c>
      <c r="J129" s="20">
        <f>F129*G129</f>
        <v>0</v>
      </c>
      <c r="K129" s="41">
        <f>IF(J305=0,0,J129/J305)</f>
        <v>0</v>
      </c>
      <c r="L129" s="20">
        <v>1.0804800000000001</v>
      </c>
      <c r="M129" s="20">
        <f>F129*L129</f>
        <v>5.4024000000000001</v>
      </c>
      <c r="N129" s="31" t="s">
        <v>622</v>
      </c>
      <c r="Z129" s="35">
        <f>IF(AQ129="5",BJ129,0)</f>
        <v>0</v>
      </c>
      <c r="AB129" s="35">
        <f>IF(AQ129="1",BH129,0)</f>
        <v>0</v>
      </c>
      <c r="AC129" s="35">
        <f>IF(AQ129="1",BI129,0)</f>
        <v>0</v>
      </c>
      <c r="AD129" s="35">
        <f>IF(AQ129="7",BH129,0)</f>
        <v>0</v>
      </c>
      <c r="AE129" s="35">
        <f>IF(AQ129="7",BI129,0)</f>
        <v>0</v>
      </c>
      <c r="AF129" s="35">
        <f>IF(AQ129="2",BH129,0)</f>
        <v>0</v>
      </c>
      <c r="AG129" s="35">
        <f>IF(AQ129="2",BI129,0)</f>
        <v>0</v>
      </c>
      <c r="AH129" s="35">
        <f>IF(AQ129="0",BJ129,0)</f>
        <v>0</v>
      </c>
      <c r="AI129" s="27"/>
      <c r="AJ129" s="20">
        <f>IF(AN129=0,J129,0)</f>
        <v>0</v>
      </c>
      <c r="AK129" s="20">
        <f>IF(AN129=15,J129,0)</f>
        <v>0</v>
      </c>
      <c r="AL129" s="20">
        <f>IF(AN129=21,J129,0)</f>
        <v>0</v>
      </c>
      <c r="AN129" s="35">
        <v>21</v>
      </c>
      <c r="AO129" s="35">
        <f>G129*0.26709790511447</f>
        <v>0</v>
      </c>
      <c r="AP129" s="35">
        <f>G129*(1-0.26709790511447)</f>
        <v>0</v>
      </c>
      <c r="AQ129" s="31" t="s">
        <v>7</v>
      </c>
      <c r="AV129" s="35">
        <f>AW129+AX129</f>
        <v>0</v>
      </c>
      <c r="AW129" s="35">
        <f>F129*AO129</f>
        <v>0</v>
      </c>
      <c r="AX129" s="35">
        <f>F129*AP129</f>
        <v>0</v>
      </c>
      <c r="AY129" s="36" t="s">
        <v>645</v>
      </c>
      <c r="AZ129" s="36" t="s">
        <v>673</v>
      </c>
      <c r="BA129" s="27" t="s">
        <v>681</v>
      </c>
      <c r="BC129" s="35">
        <f>AW129+AX129</f>
        <v>0</v>
      </c>
      <c r="BD129" s="35">
        <f>G129/(100-BE129)*100</f>
        <v>0</v>
      </c>
      <c r="BE129" s="35">
        <v>0</v>
      </c>
      <c r="BF129" s="35">
        <f>M129</f>
        <v>5.4024000000000001</v>
      </c>
      <c r="BH129" s="20">
        <f>F129*AO129</f>
        <v>0</v>
      </c>
      <c r="BI129" s="20">
        <f>F129*AP129</f>
        <v>0</v>
      </c>
      <c r="BJ129" s="20">
        <f>F129*G129</f>
        <v>0</v>
      </c>
    </row>
    <row r="130" spans="1:62" x14ac:dyDescent="0.25">
      <c r="D130" s="17" t="s">
        <v>421</v>
      </c>
    </row>
    <row r="131" spans="1:62" x14ac:dyDescent="0.25">
      <c r="A131" s="5"/>
      <c r="B131" s="13"/>
      <c r="C131" s="13" t="s">
        <v>200</v>
      </c>
      <c r="D131" s="13" t="s">
        <v>422</v>
      </c>
      <c r="E131" s="5" t="s">
        <v>6</v>
      </c>
      <c r="F131" s="5" t="s">
        <v>6</v>
      </c>
      <c r="G131" s="90" t="s">
        <v>6</v>
      </c>
      <c r="H131" s="38">
        <f>SUM(H132:H135)</f>
        <v>0</v>
      </c>
      <c r="I131" s="38">
        <f>SUM(I132:I135)</f>
        <v>0</v>
      </c>
      <c r="J131" s="38">
        <f>SUM(J132:J135)</f>
        <v>0</v>
      </c>
      <c r="K131" s="42">
        <f>IF(J305=0,0,J131/J305)</f>
        <v>0</v>
      </c>
      <c r="L131" s="27"/>
      <c r="M131" s="38">
        <f>SUM(M132:M135)</f>
        <v>0.432203</v>
      </c>
      <c r="N131" s="27"/>
      <c r="AI131" s="27"/>
      <c r="AS131" s="38">
        <f>SUM(AJ132:AJ135)</f>
        <v>0</v>
      </c>
      <c r="AT131" s="38">
        <f>SUM(AK132:AK135)</f>
        <v>0</v>
      </c>
      <c r="AU131" s="38">
        <f>SUM(AL132:AL135)</f>
        <v>0</v>
      </c>
    </row>
    <row r="132" spans="1:62" x14ac:dyDescent="0.25">
      <c r="A132" s="4" t="s">
        <v>57</v>
      </c>
      <c r="B132" s="4"/>
      <c r="C132" s="4" t="s">
        <v>201</v>
      </c>
      <c r="D132" s="4" t="s">
        <v>423</v>
      </c>
      <c r="E132" s="4" t="s">
        <v>591</v>
      </c>
      <c r="F132" s="20">
        <v>65.5</v>
      </c>
      <c r="G132" s="88"/>
      <c r="H132" s="20">
        <f>F132*AO132</f>
        <v>0</v>
      </c>
      <c r="I132" s="20">
        <f>F132*AP132</f>
        <v>0</v>
      </c>
      <c r="J132" s="20">
        <f>F132*G132</f>
        <v>0</v>
      </c>
      <c r="K132" s="41">
        <f>IF(J305=0,0,J132/J305)</f>
        <v>0</v>
      </c>
      <c r="L132" s="20">
        <v>2.0899999999999998E-3</v>
      </c>
      <c r="M132" s="20">
        <f>F132*L132</f>
        <v>0.13689499999999999</v>
      </c>
      <c r="N132" s="31" t="s">
        <v>620</v>
      </c>
      <c r="Z132" s="35">
        <f>IF(AQ132="5",BJ132,0)</f>
        <v>0</v>
      </c>
      <c r="AB132" s="35">
        <f>IF(AQ132="1",BH132,0)</f>
        <v>0</v>
      </c>
      <c r="AC132" s="35">
        <f>IF(AQ132="1",BI132,0)</f>
        <v>0</v>
      </c>
      <c r="AD132" s="35">
        <f>IF(AQ132="7",BH132,0)</f>
        <v>0</v>
      </c>
      <c r="AE132" s="35">
        <f>IF(AQ132="7",BI132,0)</f>
        <v>0</v>
      </c>
      <c r="AF132" s="35">
        <f>IF(AQ132="2",BH132,0)</f>
        <v>0</v>
      </c>
      <c r="AG132" s="35">
        <f>IF(AQ132="2",BI132,0)</f>
        <v>0</v>
      </c>
      <c r="AH132" s="35">
        <f>IF(AQ132="0",BJ132,0)</f>
        <v>0</v>
      </c>
      <c r="AI132" s="27"/>
      <c r="AJ132" s="20">
        <f>IF(AN132=0,J132,0)</f>
        <v>0</v>
      </c>
      <c r="AK132" s="20">
        <f>IF(AN132=15,J132,0)</f>
        <v>0</v>
      </c>
      <c r="AL132" s="20">
        <f>IF(AN132=21,J132,0)</f>
        <v>0</v>
      </c>
      <c r="AN132" s="35">
        <v>21</v>
      </c>
      <c r="AO132" s="35">
        <f>G132*0.756578947368421</f>
        <v>0</v>
      </c>
      <c r="AP132" s="35">
        <f>G132*(1-0.756578947368421)</f>
        <v>0</v>
      </c>
      <c r="AQ132" s="31" t="s">
        <v>13</v>
      </c>
      <c r="AV132" s="35">
        <f>AW132+AX132</f>
        <v>0</v>
      </c>
      <c r="AW132" s="35">
        <f>F132*AO132</f>
        <v>0</v>
      </c>
      <c r="AX132" s="35">
        <f>F132*AP132</f>
        <v>0</v>
      </c>
      <c r="AY132" s="36" t="s">
        <v>646</v>
      </c>
      <c r="AZ132" s="36" t="s">
        <v>674</v>
      </c>
      <c r="BA132" s="27" t="s">
        <v>681</v>
      </c>
      <c r="BC132" s="35">
        <f>AW132+AX132</f>
        <v>0</v>
      </c>
      <c r="BD132" s="35">
        <f>G132/(100-BE132)*100</f>
        <v>0</v>
      </c>
      <c r="BE132" s="35">
        <v>0</v>
      </c>
      <c r="BF132" s="35">
        <f>M132</f>
        <v>0.13689499999999999</v>
      </c>
      <c r="BH132" s="20">
        <f>F132*AO132</f>
        <v>0</v>
      </c>
      <c r="BI132" s="20">
        <f>F132*AP132</f>
        <v>0</v>
      </c>
      <c r="BJ132" s="20">
        <f>F132*G132</f>
        <v>0</v>
      </c>
    </row>
    <row r="133" spans="1:62" x14ac:dyDescent="0.25">
      <c r="A133" s="4" t="s">
        <v>58</v>
      </c>
      <c r="B133" s="4"/>
      <c r="C133" s="4" t="s">
        <v>202</v>
      </c>
      <c r="D133" s="4" t="s">
        <v>424</v>
      </c>
      <c r="E133" s="4" t="s">
        <v>591</v>
      </c>
      <c r="F133" s="20">
        <v>18</v>
      </c>
      <c r="G133" s="88"/>
      <c r="H133" s="20">
        <f>F133*AO133</f>
        <v>0</v>
      </c>
      <c r="I133" s="20">
        <f>F133*AP133</f>
        <v>0</v>
      </c>
      <c r="J133" s="20">
        <f>F133*G133</f>
        <v>0</v>
      </c>
      <c r="K133" s="41">
        <f>IF(J305=0,0,J133/J305)</f>
        <v>0</v>
      </c>
      <c r="L133" s="20">
        <v>1.355E-2</v>
      </c>
      <c r="M133" s="20">
        <f>F133*L133</f>
        <v>0.24390000000000001</v>
      </c>
      <c r="N133" s="31" t="s">
        <v>620</v>
      </c>
      <c r="Z133" s="35">
        <f>IF(AQ133="5",BJ133,0)</f>
        <v>0</v>
      </c>
      <c r="AB133" s="35">
        <f>IF(AQ133="1",BH133,0)</f>
        <v>0</v>
      </c>
      <c r="AC133" s="35">
        <f>IF(AQ133="1",BI133,0)</f>
        <v>0</v>
      </c>
      <c r="AD133" s="35">
        <f>IF(AQ133="7",BH133,0)</f>
        <v>0</v>
      </c>
      <c r="AE133" s="35">
        <f>IF(AQ133="7",BI133,0)</f>
        <v>0</v>
      </c>
      <c r="AF133" s="35">
        <f>IF(AQ133="2",BH133,0)</f>
        <v>0</v>
      </c>
      <c r="AG133" s="35">
        <f>IF(AQ133="2",BI133,0)</f>
        <v>0</v>
      </c>
      <c r="AH133" s="35">
        <f>IF(AQ133="0",BJ133,0)</f>
        <v>0</v>
      </c>
      <c r="AI133" s="27"/>
      <c r="AJ133" s="20">
        <f>IF(AN133=0,J133,0)</f>
        <v>0</v>
      </c>
      <c r="AK133" s="20">
        <f>IF(AN133=15,J133,0)</f>
        <v>0</v>
      </c>
      <c r="AL133" s="20">
        <f>IF(AN133=21,J133,0)</f>
        <v>0</v>
      </c>
      <c r="AN133" s="35">
        <v>21</v>
      </c>
      <c r="AO133" s="35">
        <f>G133*0.539962192816635</f>
        <v>0</v>
      </c>
      <c r="AP133" s="35">
        <f>G133*(1-0.539962192816635)</f>
        <v>0</v>
      </c>
      <c r="AQ133" s="31" t="s">
        <v>13</v>
      </c>
      <c r="AV133" s="35">
        <f>AW133+AX133</f>
        <v>0</v>
      </c>
      <c r="AW133" s="35">
        <f>F133*AO133</f>
        <v>0</v>
      </c>
      <c r="AX133" s="35">
        <f>F133*AP133</f>
        <v>0</v>
      </c>
      <c r="AY133" s="36" t="s">
        <v>646</v>
      </c>
      <c r="AZ133" s="36" t="s">
        <v>674</v>
      </c>
      <c r="BA133" s="27" t="s">
        <v>681</v>
      </c>
      <c r="BC133" s="35">
        <f>AW133+AX133</f>
        <v>0</v>
      </c>
      <c r="BD133" s="35">
        <f>G133/(100-BE133)*100</f>
        <v>0</v>
      </c>
      <c r="BE133" s="35">
        <v>0</v>
      </c>
      <c r="BF133" s="35">
        <f>M133</f>
        <v>0.24390000000000001</v>
      </c>
      <c r="BH133" s="20">
        <f>F133*AO133</f>
        <v>0</v>
      </c>
      <c r="BI133" s="20">
        <f>F133*AP133</f>
        <v>0</v>
      </c>
      <c r="BJ133" s="20">
        <f>F133*G133</f>
        <v>0</v>
      </c>
    </row>
    <row r="134" spans="1:62" x14ac:dyDescent="0.25">
      <c r="D134" s="17" t="s">
        <v>425</v>
      </c>
    </row>
    <row r="135" spans="1:62" x14ac:dyDescent="0.25">
      <c r="A135" s="6" t="s">
        <v>59</v>
      </c>
      <c r="B135" s="6"/>
      <c r="C135" s="6" t="s">
        <v>203</v>
      </c>
      <c r="D135" s="6" t="s">
        <v>426</v>
      </c>
      <c r="E135" s="6" t="s">
        <v>591</v>
      </c>
      <c r="F135" s="21">
        <v>18.36</v>
      </c>
      <c r="G135" s="91"/>
      <c r="H135" s="21">
        <f>F135*AO135</f>
        <v>0</v>
      </c>
      <c r="I135" s="21">
        <f>F135*AP135</f>
        <v>0</v>
      </c>
      <c r="J135" s="21">
        <f>F135*G135</f>
        <v>0</v>
      </c>
      <c r="K135" s="43">
        <f>IF(J305=0,0,J135/J305)</f>
        <v>0</v>
      </c>
      <c r="L135" s="21">
        <v>2.8E-3</v>
      </c>
      <c r="M135" s="21">
        <f>F135*L135</f>
        <v>5.1407999999999995E-2</v>
      </c>
      <c r="N135" s="32" t="s">
        <v>620</v>
      </c>
      <c r="Z135" s="35">
        <f>IF(AQ135="5",BJ135,0)</f>
        <v>0</v>
      </c>
      <c r="AB135" s="35">
        <f>IF(AQ135="1",BH135,0)</f>
        <v>0</v>
      </c>
      <c r="AC135" s="35">
        <f>IF(AQ135="1",BI135,0)</f>
        <v>0</v>
      </c>
      <c r="AD135" s="35">
        <f>IF(AQ135="7",BH135,0)</f>
        <v>0</v>
      </c>
      <c r="AE135" s="35">
        <f>IF(AQ135="7",BI135,0)</f>
        <v>0</v>
      </c>
      <c r="AF135" s="35">
        <f>IF(AQ135="2",BH135,0)</f>
        <v>0</v>
      </c>
      <c r="AG135" s="35">
        <f>IF(AQ135="2",BI135,0)</f>
        <v>0</v>
      </c>
      <c r="AH135" s="35">
        <f>IF(AQ135="0",BJ135,0)</f>
        <v>0</v>
      </c>
      <c r="AI135" s="27"/>
      <c r="AJ135" s="21">
        <f>IF(AN135=0,J135,0)</f>
        <v>0</v>
      </c>
      <c r="AK135" s="21">
        <f>IF(AN135=15,J135,0)</f>
        <v>0</v>
      </c>
      <c r="AL135" s="21">
        <f>IF(AN135=21,J135,0)</f>
        <v>0</v>
      </c>
      <c r="AN135" s="35">
        <v>21</v>
      </c>
      <c r="AO135" s="35">
        <f>G135*1</f>
        <v>0</v>
      </c>
      <c r="AP135" s="35">
        <f>G135*(1-1)</f>
        <v>0</v>
      </c>
      <c r="AQ135" s="32" t="s">
        <v>13</v>
      </c>
      <c r="AV135" s="35">
        <f>AW135+AX135</f>
        <v>0</v>
      </c>
      <c r="AW135" s="35">
        <f>F135*AO135</f>
        <v>0</v>
      </c>
      <c r="AX135" s="35">
        <f>F135*AP135</f>
        <v>0</v>
      </c>
      <c r="AY135" s="36" t="s">
        <v>646</v>
      </c>
      <c r="AZ135" s="36" t="s">
        <v>674</v>
      </c>
      <c r="BA135" s="27" t="s">
        <v>681</v>
      </c>
      <c r="BC135" s="35">
        <f>AW135+AX135</f>
        <v>0</v>
      </c>
      <c r="BD135" s="35">
        <f>G135/(100-BE135)*100</f>
        <v>0</v>
      </c>
      <c r="BE135" s="35">
        <v>0.8</v>
      </c>
      <c r="BF135" s="35">
        <f>M135</f>
        <v>5.1407999999999995E-2</v>
      </c>
      <c r="BH135" s="21">
        <f>F135*AO135</f>
        <v>0</v>
      </c>
      <c r="BI135" s="21">
        <f>F135*AP135</f>
        <v>0</v>
      </c>
      <c r="BJ135" s="21">
        <f>F135*G135</f>
        <v>0</v>
      </c>
    </row>
    <row r="136" spans="1:62" ht="25.65" customHeight="1" x14ac:dyDescent="0.25">
      <c r="C136" s="14" t="s">
        <v>151</v>
      </c>
      <c r="D136" s="141" t="s">
        <v>427</v>
      </c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</row>
    <row r="137" spans="1:62" x14ac:dyDescent="0.25">
      <c r="A137" s="5"/>
      <c r="B137" s="13"/>
      <c r="C137" s="13" t="s">
        <v>204</v>
      </c>
      <c r="D137" s="13" t="s">
        <v>428</v>
      </c>
      <c r="E137" s="5" t="s">
        <v>6</v>
      </c>
      <c r="F137" s="5" t="s">
        <v>6</v>
      </c>
      <c r="G137" s="90" t="s">
        <v>6</v>
      </c>
      <c r="H137" s="38">
        <f>SUM(H138:H140)</f>
        <v>0</v>
      </c>
      <c r="I137" s="38">
        <f>SUM(I138:I140)</f>
        <v>0</v>
      </c>
      <c r="J137" s="38">
        <f>SUM(J138:J140)</f>
        <v>0</v>
      </c>
      <c r="K137" s="42">
        <f>IF(J305=0,0,J137/J305)</f>
        <v>0</v>
      </c>
      <c r="L137" s="27"/>
      <c r="M137" s="38">
        <f>SUM(M138:M140)</f>
        <v>0.1766528</v>
      </c>
      <c r="N137" s="27"/>
      <c r="AI137" s="27"/>
      <c r="AS137" s="38">
        <f>SUM(AJ138:AJ140)</f>
        <v>0</v>
      </c>
      <c r="AT137" s="38">
        <f>SUM(AK138:AK140)</f>
        <v>0</v>
      </c>
      <c r="AU137" s="38">
        <f>SUM(AL138:AL140)</f>
        <v>0</v>
      </c>
    </row>
    <row r="138" spans="1:62" x14ac:dyDescent="0.25">
      <c r="A138" s="4" t="s">
        <v>60</v>
      </c>
      <c r="B138" s="4"/>
      <c r="C138" s="4" t="s">
        <v>205</v>
      </c>
      <c r="D138" s="4" t="s">
        <v>429</v>
      </c>
      <c r="E138" s="4" t="s">
        <v>591</v>
      </c>
      <c r="F138" s="20">
        <v>37.299999999999997</v>
      </c>
      <c r="G138" s="88"/>
      <c r="H138" s="20">
        <f>F138*AO138</f>
        <v>0</v>
      </c>
      <c r="I138" s="20">
        <f>F138*AP138</f>
        <v>0</v>
      </c>
      <c r="J138" s="20">
        <f>F138*G138</f>
        <v>0</v>
      </c>
      <c r="K138" s="41">
        <f>IF(J305=0,0,J138/J305)</f>
        <v>0</v>
      </c>
      <c r="L138" s="20">
        <v>8.3000000000000001E-4</v>
      </c>
      <c r="M138" s="20">
        <f>F138*L138</f>
        <v>3.0958999999999997E-2</v>
      </c>
      <c r="N138" s="31" t="s">
        <v>620</v>
      </c>
      <c r="Z138" s="35">
        <f>IF(AQ138="5",BJ138,0)</f>
        <v>0</v>
      </c>
      <c r="AB138" s="35">
        <f>IF(AQ138="1",BH138,0)</f>
        <v>0</v>
      </c>
      <c r="AC138" s="35">
        <f>IF(AQ138="1",BI138,0)</f>
        <v>0</v>
      </c>
      <c r="AD138" s="35">
        <f>IF(AQ138="7",BH138,0)</f>
        <v>0</v>
      </c>
      <c r="AE138" s="35">
        <f>IF(AQ138="7",BI138,0)</f>
        <v>0</v>
      </c>
      <c r="AF138" s="35">
        <f>IF(AQ138="2",BH138,0)</f>
        <v>0</v>
      </c>
      <c r="AG138" s="35">
        <f>IF(AQ138="2",BI138,0)</f>
        <v>0</v>
      </c>
      <c r="AH138" s="35">
        <f>IF(AQ138="0",BJ138,0)</f>
        <v>0</v>
      </c>
      <c r="AI138" s="27"/>
      <c r="AJ138" s="20">
        <f>IF(AN138=0,J138,0)</f>
        <v>0</v>
      </c>
      <c r="AK138" s="20">
        <f>IF(AN138=15,J138,0)</f>
        <v>0</v>
      </c>
      <c r="AL138" s="20">
        <f>IF(AN138=21,J138,0)</f>
        <v>0</v>
      </c>
      <c r="AN138" s="35">
        <v>21</v>
      </c>
      <c r="AO138" s="35">
        <f>G138*0.300203562340967</f>
        <v>0</v>
      </c>
      <c r="AP138" s="35">
        <f>G138*(1-0.300203562340967)</f>
        <v>0</v>
      </c>
      <c r="AQ138" s="31" t="s">
        <v>13</v>
      </c>
      <c r="AV138" s="35">
        <f>AW138+AX138</f>
        <v>0</v>
      </c>
      <c r="AW138" s="35">
        <f>F138*AO138</f>
        <v>0</v>
      </c>
      <c r="AX138" s="35">
        <f>F138*AP138</f>
        <v>0</v>
      </c>
      <c r="AY138" s="36" t="s">
        <v>647</v>
      </c>
      <c r="AZ138" s="36" t="s">
        <v>674</v>
      </c>
      <c r="BA138" s="27" t="s">
        <v>681</v>
      </c>
      <c r="BC138" s="35">
        <f>AW138+AX138</f>
        <v>0</v>
      </c>
      <c r="BD138" s="35">
        <f>G138/(100-BE138)*100</f>
        <v>0</v>
      </c>
      <c r="BE138" s="35">
        <v>0</v>
      </c>
      <c r="BF138" s="35">
        <f>M138</f>
        <v>3.0958999999999997E-2</v>
      </c>
      <c r="BH138" s="20">
        <f>F138*AO138</f>
        <v>0</v>
      </c>
      <c r="BI138" s="20">
        <f>F138*AP138</f>
        <v>0</v>
      </c>
      <c r="BJ138" s="20">
        <f>F138*G138</f>
        <v>0</v>
      </c>
    </row>
    <row r="139" spans="1:62" x14ac:dyDescent="0.25">
      <c r="C139" s="14" t="s">
        <v>151</v>
      </c>
      <c r="D139" s="141" t="s">
        <v>430</v>
      </c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</row>
    <row r="140" spans="1:62" x14ac:dyDescent="0.25">
      <c r="A140" s="6" t="s">
        <v>61</v>
      </c>
      <c r="B140" s="6"/>
      <c r="C140" s="6" t="s">
        <v>206</v>
      </c>
      <c r="D140" s="6" t="s">
        <v>431</v>
      </c>
      <c r="E140" s="6" t="s">
        <v>591</v>
      </c>
      <c r="F140" s="21">
        <v>39.164999999999999</v>
      </c>
      <c r="G140" s="91"/>
      <c r="H140" s="21">
        <f>F140*AO140</f>
        <v>0</v>
      </c>
      <c r="I140" s="21">
        <f>F140*AP140</f>
        <v>0</v>
      </c>
      <c r="J140" s="21">
        <f>F140*G140</f>
        <v>0</v>
      </c>
      <c r="K140" s="43">
        <f>IF(J305=0,0,J140/J305)</f>
        <v>0</v>
      </c>
      <c r="L140" s="21">
        <v>3.7200000000000002E-3</v>
      </c>
      <c r="M140" s="21">
        <f>F140*L140</f>
        <v>0.14569380000000001</v>
      </c>
      <c r="N140" s="32" t="s">
        <v>620</v>
      </c>
      <c r="Z140" s="35">
        <f>IF(AQ140="5",BJ140,0)</f>
        <v>0</v>
      </c>
      <c r="AB140" s="35">
        <f>IF(AQ140="1",BH140,0)</f>
        <v>0</v>
      </c>
      <c r="AC140" s="35">
        <f>IF(AQ140="1",BI140,0)</f>
        <v>0</v>
      </c>
      <c r="AD140" s="35">
        <f>IF(AQ140="7",BH140,0)</f>
        <v>0</v>
      </c>
      <c r="AE140" s="35">
        <f>IF(AQ140="7",BI140,0)</f>
        <v>0</v>
      </c>
      <c r="AF140" s="35">
        <f>IF(AQ140="2",BH140,0)</f>
        <v>0</v>
      </c>
      <c r="AG140" s="35">
        <f>IF(AQ140="2",BI140,0)</f>
        <v>0</v>
      </c>
      <c r="AH140" s="35">
        <f>IF(AQ140="0",BJ140,0)</f>
        <v>0</v>
      </c>
      <c r="AI140" s="27"/>
      <c r="AJ140" s="21">
        <f>IF(AN140=0,J140,0)</f>
        <v>0</v>
      </c>
      <c r="AK140" s="21">
        <f>IF(AN140=15,J140,0)</f>
        <v>0</v>
      </c>
      <c r="AL140" s="21">
        <f>IF(AN140=21,J140,0)</f>
        <v>0</v>
      </c>
      <c r="AN140" s="35">
        <v>21</v>
      </c>
      <c r="AO140" s="35">
        <f>G140*1</f>
        <v>0</v>
      </c>
      <c r="AP140" s="35">
        <f>G140*(1-1)</f>
        <v>0</v>
      </c>
      <c r="AQ140" s="32" t="s">
        <v>13</v>
      </c>
      <c r="AV140" s="35">
        <f>AW140+AX140</f>
        <v>0</v>
      </c>
      <c r="AW140" s="35">
        <f>F140*AO140</f>
        <v>0</v>
      </c>
      <c r="AX140" s="35">
        <f>F140*AP140</f>
        <v>0</v>
      </c>
      <c r="AY140" s="36" t="s">
        <v>647</v>
      </c>
      <c r="AZ140" s="36" t="s">
        <v>674</v>
      </c>
      <c r="BA140" s="27" t="s">
        <v>681</v>
      </c>
      <c r="BC140" s="35">
        <f>AW140+AX140</f>
        <v>0</v>
      </c>
      <c r="BD140" s="35">
        <f>G140/(100-BE140)*100</f>
        <v>0</v>
      </c>
      <c r="BE140" s="35">
        <v>0</v>
      </c>
      <c r="BF140" s="35">
        <f>M140</f>
        <v>0.14569380000000001</v>
      </c>
      <c r="BH140" s="21">
        <f>F140*AO140</f>
        <v>0</v>
      </c>
      <c r="BI140" s="21">
        <f>F140*AP140</f>
        <v>0</v>
      </c>
      <c r="BJ140" s="21">
        <f>F140*G140</f>
        <v>0</v>
      </c>
    </row>
    <row r="141" spans="1:62" ht="25.65" customHeight="1" x14ac:dyDescent="0.25">
      <c r="C141" s="14" t="s">
        <v>151</v>
      </c>
      <c r="D141" s="141" t="s">
        <v>432</v>
      </c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</row>
    <row r="142" spans="1:62" x14ac:dyDescent="0.25">
      <c r="A142" s="5"/>
      <c r="B142" s="13"/>
      <c r="C142" s="13" t="s">
        <v>207</v>
      </c>
      <c r="D142" s="13" t="s">
        <v>433</v>
      </c>
      <c r="E142" s="5" t="s">
        <v>6</v>
      </c>
      <c r="F142" s="5" t="s">
        <v>6</v>
      </c>
      <c r="G142" s="90" t="s">
        <v>6</v>
      </c>
      <c r="H142" s="38">
        <f>SUM(H143:H147)</f>
        <v>0</v>
      </c>
      <c r="I142" s="38">
        <f>SUM(I143:I147)</f>
        <v>0</v>
      </c>
      <c r="J142" s="38">
        <f>SUM(J143:J147)</f>
        <v>0</v>
      </c>
      <c r="K142" s="42">
        <f>IF(J305=0,0,J142/J305)</f>
        <v>0</v>
      </c>
      <c r="L142" s="27"/>
      <c r="M142" s="38">
        <f>SUM(M143:M147)</f>
        <v>1.65524436</v>
      </c>
      <c r="N142" s="27"/>
      <c r="AI142" s="27"/>
      <c r="AS142" s="38">
        <f>SUM(AJ143:AJ147)</f>
        <v>0</v>
      </c>
      <c r="AT142" s="38">
        <f>SUM(AK143:AK147)</f>
        <v>0</v>
      </c>
      <c r="AU142" s="38">
        <f>SUM(AL143:AL147)</f>
        <v>0</v>
      </c>
    </row>
    <row r="143" spans="1:62" x14ac:dyDescent="0.25">
      <c r="A143" s="4" t="s">
        <v>62</v>
      </c>
      <c r="B143" s="4"/>
      <c r="C143" s="4" t="s">
        <v>208</v>
      </c>
      <c r="D143" s="4" t="s">
        <v>434</v>
      </c>
      <c r="E143" s="4" t="s">
        <v>591</v>
      </c>
      <c r="F143" s="20">
        <v>62.26</v>
      </c>
      <c r="G143" s="88"/>
      <c r="H143" s="20">
        <f>F143*AO143</f>
        <v>0</v>
      </c>
      <c r="I143" s="20">
        <f>F143*AP143</f>
        <v>0</v>
      </c>
      <c r="J143" s="20">
        <f>F143*G143</f>
        <v>0</v>
      </c>
      <c r="K143" s="41">
        <f>IF(J305=0,0,J143/J305)</f>
        <v>0</v>
      </c>
      <c r="L143" s="20">
        <v>1.2899999999999999E-3</v>
      </c>
      <c r="M143" s="20">
        <f>F143*L143</f>
        <v>8.0315399999999995E-2</v>
      </c>
      <c r="N143" s="31" t="s">
        <v>620</v>
      </c>
      <c r="Z143" s="35">
        <f>IF(AQ143="5",BJ143,0)</f>
        <v>0</v>
      </c>
      <c r="AB143" s="35">
        <f>IF(AQ143="1",BH143,0)</f>
        <v>0</v>
      </c>
      <c r="AC143" s="35">
        <f>IF(AQ143="1",BI143,0)</f>
        <v>0</v>
      </c>
      <c r="AD143" s="35">
        <f>IF(AQ143="7",BH143,0)</f>
        <v>0</v>
      </c>
      <c r="AE143" s="35">
        <f>IF(AQ143="7",BI143,0)</f>
        <v>0</v>
      </c>
      <c r="AF143" s="35">
        <f>IF(AQ143="2",BH143,0)</f>
        <v>0</v>
      </c>
      <c r="AG143" s="35">
        <f>IF(AQ143="2",BI143,0)</f>
        <v>0</v>
      </c>
      <c r="AH143" s="35">
        <f>IF(AQ143="0",BJ143,0)</f>
        <v>0</v>
      </c>
      <c r="AI143" s="27"/>
      <c r="AJ143" s="20">
        <f>IF(AN143=0,J143,0)</f>
        <v>0</v>
      </c>
      <c r="AK143" s="20">
        <f>IF(AN143=15,J143,0)</f>
        <v>0</v>
      </c>
      <c r="AL143" s="20">
        <f>IF(AN143=21,J143,0)</f>
        <v>0</v>
      </c>
      <c r="AN143" s="35">
        <v>21</v>
      </c>
      <c r="AO143" s="35">
        <f>G143*0.134698581560284</f>
        <v>0</v>
      </c>
      <c r="AP143" s="35">
        <f>G143*(1-0.134698581560284)</f>
        <v>0</v>
      </c>
      <c r="AQ143" s="31" t="s">
        <v>13</v>
      </c>
      <c r="AV143" s="35">
        <f>AW143+AX143</f>
        <v>0</v>
      </c>
      <c r="AW143" s="35">
        <f>F143*AO143</f>
        <v>0</v>
      </c>
      <c r="AX143" s="35">
        <f>F143*AP143</f>
        <v>0</v>
      </c>
      <c r="AY143" s="36" t="s">
        <v>648</v>
      </c>
      <c r="AZ143" s="36" t="s">
        <v>674</v>
      </c>
      <c r="BA143" s="27" t="s">
        <v>681</v>
      </c>
      <c r="BC143" s="35">
        <f>AW143+AX143</f>
        <v>0</v>
      </c>
      <c r="BD143" s="35">
        <f>G143/(100-BE143)*100</f>
        <v>0</v>
      </c>
      <c r="BE143" s="35">
        <v>0</v>
      </c>
      <c r="BF143" s="35">
        <f>M143</f>
        <v>8.0315399999999995E-2</v>
      </c>
      <c r="BH143" s="20">
        <f>F143*AO143</f>
        <v>0</v>
      </c>
      <c r="BI143" s="20">
        <f>F143*AP143</f>
        <v>0</v>
      </c>
      <c r="BJ143" s="20">
        <f>F143*G143</f>
        <v>0</v>
      </c>
    </row>
    <row r="144" spans="1:62" x14ac:dyDescent="0.25">
      <c r="C144" s="14" t="s">
        <v>151</v>
      </c>
      <c r="D144" s="141" t="s">
        <v>435</v>
      </c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</row>
    <row r="145" spans="1:62" x14ac:dyDescent="0.25">
      <c r="A145" s="6" t="s">
        <v>63</v>
      </c>
      <c r="B145" s="6"/>
      <c r="C145" s="6" t="s">
        <v>209</v>
      </c>
      <c r="D145" s="6" t="s">
        <v>436</v>
      </c>
      <c r="E145" s="6" t="s">
        <v>597</v>
      </c>
      <c r="F145" s="21">
        <v>63.505200000000002</v>
      </c>
      <c r="G145" s="91"/>
      <c r="H145" s="21">
        <f>F145*AO145</f>
        <v>0</v>
      </c>
      <c r="I145" s="21">
        <f>F145*AP145</f>
        <v>0</v>
      </c>
      <c r="J145" s="21">
        <f>F145*G145</f>
        <v>0</v>
      </c>
      <c r="K145" s="43">
        <f>IF(J305=0,0,J145/J305)</f>
        <v>0</v>
      </c>
      <c r="L145" s="21">
        <v>2.4799999999999999E-2</v>
      </c>
      <c r="M145" s="21">
        <f>F145*L145</f>
        <v>1.57492896</v>
      </c>
      <c r="N145" s="32" t="s">
        <v>620</v>
      </c>
      <c r="Z145" s="35">
        <f>IF(AQ145="5",BJ145,0)</f>
        <v>0</v>
      </c>
      <c r="AB145" s="35">
        <f>IF(AQ145="1",BH145,0)</f>
        <v>0</v>
      </c>
      <c r="AC145" s="35">
        <f>IF(AQ145="1",BI145,0)</f>
        <v>0</v>
      </c>
      <c r="AD145" s="35">
        <f>IF(AQ145="7",BH145,0)</f>
        <v>0</v>
      </c>
      <c r="AE145" s="35">
        <f>IF(AQ145="7",BI145,0)</f>
        <v>0</v>
      </c>
      <c r="AF145" s="35">
        <f>IF(AQ145="2",BH145,0)</f>
        <v>0</v>
      </c>
      <c r="AG145" s="35">
        <f>IF(AQ145="2",BI145,0)</f>
        <v>0</v>
      </c>
      <c r="AH145" s="35">
        <f>IF(AQ145="0",BJ145,0)</f>
        <v>0</v>
      </c>
      <c r="AI145" s="27"/>
      <c r="AJ145" s="21">
        <f>IF(AN145=0,J145,0)</f>
        <v>0</v>
      </c>
      <c r="AK145" s="21">
        <f>IF(AN145=15,J145,0)</f>
        <v>0</v>
      </c>
      <c r="AL145" s="21">
        <f>IF(AN145=21,J145,0)</f>
        <v>0</v>
      </c>
      <c r="AN145" s="35">
        <v>21</v>
      </c>
      <c r="AO145" s="35">
        <f>G145*1</f>
        <v>0</v>
      </c>
      <c r="AP145" s="35">
        <f>G145*(1-1)</f>
        <v>0</v>
      </c>
      <c r="AQ145" s="32" t="s">
        <v>13</v>
      </c>
      <c r="AV145" s="35">
        <f>AW145+AX145</f>
        <v>0</v>
      </c>
      <c r="AW145" s="35">
        <f>F145*AO145</f>
        <v>0</v>
      </c>
      <c r="AX145" s="35">
        <f>F145*AP145</f>
        <v>0</v>
      </c>
      <c r="AY145" s="36" t="s">
        <v>648</v>
      </c>
      <c r="AZ145" s="36" t="s">
        <v>674</v>
      </c>
      <c r="BA145" s="27" t="s">
        <v>681</v>
      </c>
      <c r="BC145" s="35">
        <f>AW145+AX145</f>
        <v>0</v>
      </c>
      <c r="BD145" s="35">
        <f>G145/(100-BE145)*100</f>
        <v>0</v>
      </c>
      <c r="BE145" s="35">
        <v>0</v>
      </c>
      <c r="BF145" s="35">
        <f>M145</f>
        <v>1.57492896</v>
      </c>
      <c r="BH145" s="21">
        <f>F145*AO145</f>
        <v>0</v>
      </c>
      <c r="BI145" s="21">
        <f>F145*AP145</f>
        <v>0</v>
      </c>
      <c r="BJ145" s="21">
        <f>F145*G145</f>
        <v>0</v>
      </c>
    </row>
    <row r="146" spans="1:62" ht="25.65" customHeight="1" x14ac:dyDescent="0.25">
      <c r="C146" s="14" t="s">
        <v>151</v>
      </c>
      <c r="D146" s="141" t="s">
        <v>437</v>
      </c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</row>
    <row r="147" spans="1:62" x14ac:dyDescent="0.25">
      <c r="A147" s="4" t="s">
        <v>64</v>
      </c>
      <c r="B147" s="4"/>
      <c r="C147" s="4" t="s">
        <v>210</v>
      </c>
      <c r="D147" s="4" t="s">
        <v>438</v>
      </c>
      <c r="E147" s="4" t="s">
        <v>597</v>
      </c>
      <c r="F147" s="20">
        <v>4</v>
      </c>
      <c r="G147" s="88"/>
      <c r="H147" s="20">
        <f>F147*AO147</f>
        <v>0</v>
      </c>
      <c r="I147" s="20">
        <f>F147*AP147</f>
        <v>0</v>
      </c>
      <c r="J147" s="20">
        <f>F147*G147</f>
        <v>0</v>
      </c>
      <c r="K147" s="41">
        <f>IF(J305=0,0,J147/J305)</f>
        <v>0</v>
      </c>
      <c r="L147" s="20">
        <v>0</v>
      </c>
      <c r="M147" s="20">
        <f>F147*L147</f>
        <v>0</v>
      </c>
      <c r="N147" s="31" t="s">
        <v>620</v>
      </c>
      <c r="Z147" s="35">
        <f>IF(AQ147="5",BJ147,0)</f>
        <v>0</v>
      </c>
      <c r="AB147" s="35">
        <f>IF(AQ147="1",BH147,0)</f>
        <v>0</v>
      </c>
      <c r="AC147" s="35">
        <f>IF(AQ147="1",BI147,0)</f>
        <v>0</v>
      </c>
      <c r="AD147" s="35">
        <f>IF(AQ147="7",BH147,0)</f>
        <v>0</v>
      </c>
      <c r="AE147" s="35">
        <f>IF(AQ147="7",BI147,0)</f>
        <v>0</v>
      </c>
      <c r="AF147" s="35">
        <f>IF(AQ147="2",BH147,0)</f>
        <v>0</v>
      </c>
      <c r="AG147" s="35">
        <f>IF(AQ147="2",BI147,0)</f>
        <v>0</v>
      </c>
      <c r="AH147" s="35">
        <f>IF(AQ147="0",BJ147,0)</f>
        <v>0</v>
      </c>
      <c r="AI147" s="27"/>
      <c r="AJ147" s="20">
        <f>IF(AN147=0,J147,0)</f>
        <v>0</v>
      </c>
      <c r="AK147" s="20">
        <f>IF(AN147=15,J147,0)</f>
        <v>0</v>
      </c>
      <c r="AL147" s="20">
        <f>IF(AN147=21,J147,0)</f>
        <v>0</v>
      </c>
      <c r="AN147" s="35">
        <v>21</v>
      </c>
      <c r="AO147" s="35">
        <f>G147*0</f>
        <v>0</v>
      </c>
      <c r="AP147" s="35">
        <f>G147*(1-0)</f>
        <v>0</v>
      </c>
      <c r="AQ147" s="31" t="s">
        <v>13</v>
      </c>
      <c r="AV147" s="35">
        <f>AW147+AX147</f>
        <v>0</v>
      </c>
      <c r="AW147" s="35">
        <f>F147*AO147</f>
        <v>0</v>
      </c>
      <c r="AX147" s="35">
        <f>F147*AP147</f>
        <v>0</v>
      </c>
      <c r="AY147" s="36" t="s">
        <v>648</v>
      </c>
      <c r="AZ147" s="36" t="s">
        <v>674</v>
      </c>
      <c r="BA147" s="27" t="s">
        <v>681</v>
      </c>
      <c r="BC147" s="35">
        <f>AW147+AX147</f>
        <v>0</v>
      </c>
      <c r="BD147" s="35">
        <f>G147/(100-BE147)*100</f>
        <v>0</v>
      </c>
      <c r="BE147" s="35">
        <v>0</v>
      </c>
      <c r="BF147" s="35">
        <f>M147</f>
        <v>0</v>
      </c>
      <c r="BH147" s="20">
        <f>F147*AO147</f>
        <v>0</v>
      </c>
      <c r="BI147" s="20">
        <f>F147*AP147</f>
        <v>0</v>
      </c>
      <c r="BJ147" s="20">
        <f>F147*G147</f>
        <v>0</v>
      </c>
    </row>
    <row r="148" spans="1:62" x14ac:dyDescent="0.25">
      <c r="C148" s="14" t="s">
        <v>151</v>
      </c>
      <c r="D148" s="141" t="s">
        <v>439</v>
      </c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</row>
    <row r="149" spans="1:62" x14ac:dyDescent="0.25">
      <c r="A149" s="5"/>
      <c r="B149" s="13"/>
      <c r="C149" s="13" t="s">
        <v>211</v>
      </c>
      <c r="D149" s="13" t="s">
        <v>440</v>
      </c>
      <c r="E149" s="5" t="s">
        <v>6</v>
      </c>
      <c r="F149" s="5" t="s">
        <v>6</v>
      </c>
      <c r="G149" s="90" t="s">
        <v>6</v>
      </c>
      <c r="H149" s="38">
        <f>SUM(H150:H159)</f>
        <v>0</v>
      </c>
      <c r="I149" s="38">
        <f>SUM(I150:I159)</f>
        <v>0</v>
      </c>
      <c r="J149" s="38">
        <f>SUM(J150:J159)</f>
        <v>0</v>
      </c>
      <c r="K149" s="42">
        <f>IF(J305=0,0,J149/J305)</f>
        <v>0</v>
      </c>
      <c r="L149" s="27"/>
      <c r="M149" s="38">
        <f>SUM(M150:M159)</f>
        <v>0.25278499999999998</v>
      </c>
      <c r="N149" s="27"/>
      <c r="AI149" s="27"/>
      <c r="AS149" s="38">
        <f>SUM(AJ150:AJ159)</f>
        <v>0</v>
      </c>
      <c r="AT149" s="38">
        <f>SUM(AK150:AK159)</f>
        <v>0</v>
      </c>
      <c r="AU149" s="38">
        <f>SUM(AL150:AL159)</f>
        <v>0</v>
      </c>
    </row>
    <row r="150" spans="1:62" x14ac:dyDescent="0.25">
      <c r="A150" s="4" t="s">
        <v>65</v>
      </c>
      <c r="B150" s="4"/>
      <c r="C150" s="4" t="s">
        <v>212</v>
      </c>
      <c r="D150" s="4" t="s">
        <v>441</v>
      </c>
      <c r="E150" s="4" t="s">
        <v>594</v>
      </c>
      <c r="F150" s="20">
        <v>3.5</v>
      </c>
      <c r="G150" s="88"/>
      <c r="H150" s="20">
        <f t="shared" ref="H150:H159" si="0">F150*AO150</f>
        <v>0</v>
      </c>
      <c r="I150" s="20">
        <f t="shared" ref="I150:I159" si="1">F150*AP150</f>
        <v>0</v>
      </c>
      <c r="J150" s="20">
        <f t="shared" ref="J150:J159" si="2">F150*G150</f>
        <v>0</v>
      </c>
      <c r="K150" s="41">
        <f>IF(J305=0,0,J150/J305)</f>
        <v>0</v>
      </c>
      <c r="L150" s="20">
        <v>4.6999999999999999E-4</v>
      </c>
      <c r="M150" s="20">
        <f t="shared" ref="M150:M159" si="3">F150*L150</f>
        <v>1.645E-3</v>
      </c>
      <c r="N150" s="31" t="s">
        <v>620</v>
      </c>
      <c r="Z150" s="35">
        <f t="shared" ref="Z150:Z159" si="4">IF(AQ150="5",BJ150,0)</f>
        <v>0</v>
      </c>
      <c r="AB150" s="35">
        <f t="shared" ref="AB150:AB159" si="5">IF(AQ150="1",BH150,0)</f>
        <v>0</v>
      </c>
      <c r="AC150" s="35">
        <f t="shared" ref="AC150:AC159" si="6">IF(AQ150="1",BI150,0)</f>
        <v>0</v>
      </c>
      <c r="AD150" s="35">
        <f t="shared" ref="AD150:AD159" si="7">IF(AQ150="7",BH150,0)</f>
        <v>0</v>
      </c>
      <c r="AE150" s="35">
        <f t="shared" ref="AE150:AE159" si="8">IF(AQ150="7",BI150,0)</f>
        <v>0</v>
      </c>
      <c r="AF150" s="35">
        <f t="shared" ref="AF150:AF159" si="9">IF(AQ150="2",BH150,0)</f>
        <v>0</v>
      </c>
      <c r="AG150" s="35">
        <f t="shared" ref="AG150:AG159" si="10">IF(AQ150="2",BI150,0)</f>
        <v>0</v>
      </c>
      <c r="AH150" s="35">
        <f t="shared" ref="AH150:AH159" si="11">IF(AQ150="0",BJ150,0)</f>
        <v>0</v>
      </c>
      <c r="AI150" s="27"/>
      <c r="AJ150" s="20">
        <f t="shared" ref="AJ150:AJ159" si="12">IF(AN150=0,J150,0)</f>
        <v>0</v>
      </c>
      <c r="AK150" s="20">
        <f t="shared" ref="AK150:AK159" si="13">IF(AN150=15,J150,0)</f>
        <v>0</v>
      </c>
      <c r="AL150" s="20">
        <f t="shared" ref="AL150:AL159" si="14">IF(AN150=21,J150,0)</f>
        <v>0</v>
      </c>
      <c r="AN150" s="35">
        <v>21</v>
      </c>
      <c r="AO150" s="35">
        <f>G150*0.323721881390593</f>
        <v>0</v>
      </c>
      <c r="AP150" s="35">
        <f>G150*(1-0.323721881390593)</f>
        <v>0</v>
      </c>
      <c r="AQ150" s="31" t="s">
        <v>13</v>
      </c>
      <c r="AV150" s="35">
        <f t="shared" ref="AV150:AV159" si="15">AW150+AX150</f>
        <v>0</v>
      </c>
      <c r="AW150" s="35">
        <f t="shared" ref="AW150:AW159" si="16">F150*AO150</f>
        <v>0</v>
      </c>
      <c r="AX150" s="35">
        <f t="shared" ref="AX150:AX159" si="17">F150*AP150</f>
        <v>0</v>
      </c>
      <c r="AY150" s="36" t="s">
        <v>649</v>
      </c>
      <c r="AZ150" s="36" t="s">
        <v>675</v>
      </c>
      <c r="BA150" s="27" t="s">
        <v>681</v>
      </c>
      <c r="BC150" s="35">
        <f t="shared" ref="BC150:BC159" si="18">AW150+AX150</f>
        <v>0</v>
      </c>
      <c r="BD150" s="35">
        <f t="shared" ref="BD150:BD159" si="19">G150/(100-BE150)*100</f>
        <v>0</v>
      </c>
      <c r="BE150" s="35">
        <v>0</v>
      </c>
      <c r="BF150" s="35">
        <f t="shared" ref="BF150:BF159" si="20">M150</f>
        <v>1.645E-3</v>
      </c>
      <c r="BH150" s="20">
        <f t="shared" ref="BH150:BH159" si="21">F150*AO150</f>
        <v>0</v>
      </c>
      <c r="BI150" s="20">
        <f t="shared" ref="BI150:BI159" si="22">F150*AP150</f>
        <v>0</v>
      </c>
      <c r="BJ150" s="20">
        <f t="shared" ref="BJ150:BJ159" si="23">F150*G150</f>
        <v>0</v>
      </c>
    </row>
    <row r="151" spans="1:62" x14ac:dyDescent="0.25">
      <c r="A151" s="4" t="s">
        <v>66</v>
      </c>
      <c r="B151" s="4"/>
      <c r="C151" s="4" t="s">
        <v>213</v>
      </c>
      <c r="D151" s="4" t="s">
        <v>442</v>
      </c>
      <c r="E151" s="4" t="s">
        <v>594</v>
      </c>
      <c r="F151" s="20">
        <v>4</v>
      </c>
      <c r="G151" s="88"/>
      <c r="H151" s="20">
        <f t="shared" si="0"/>
        <v>0</v>
      </c>
      <c r="I151" s="20">
        <f t="shared" si="1"/>
        <v>0</v>
      </c>
      <c r="J151" s="20">
        <f t="shared" si="2"/>
        <v>0</v>
      </c>
      <c r="K151" s="41">
        <f>IF(J305=0,0,J151/J305)</f>
        <v>0</v>
      </c>
      <c r="L151" s="20">
        <v>7.7999999999999999E-4</v>
      </c>
      <c r="M151" s="20">
        <f t="shared" si="3"/>
        <v>3.1199999999999999E-3</v>
      </c>
      <c r="N151" s="31" t="s">
        <v>620</v>
      </c>
      <c r="Z151" s="35">
        <f t="shared" si="4"/>
        <v>0</v>
      </c>
      <c r="AB151" s="35">
        <f t="shared" si="5"/>
        <v>0</v>
      </c>
      <c r="AC151" s="35">
        <f t="shared" si="6"/>
        <v>0</v>
      </c>
      <c r="AD151" s="35">
        <f t="shared" si="7"/>
        <v>0</v>
      </c>
      <c r="AE151" s="35">
        <f t="shared" si="8"/>
        <v>0</v>
      </c>
      <c r="AF151" s="35">
        <f t="shared" si="9"/>
        <v>0</v>
      </c>
      <c r="AG151" s="35">
        <f t="shared" si="10"/>
        <v>0</v>
      </c>
      <c r="AH151" s="35">
        <f t="shared" si="11"/>
        <v>0</v>
      </c>
      <c r="AI151" s="27"/>
      <c r="AJ151" s="20">
        <f t="shared" si="12"/>
        <v>0</v>
      </c>
      <c r="AK151" s="20">
        <f t="shared" si="13"/>
        <v>0</v>
      </c>
      <c r="AL151" s="20">
        <f t="shared" si="14"/>
        <v>0</v>
      </c>
      <c r="AN151" s="35">
        <v>21</v>
      </c>
      <c r="AO151" s="35">
        <f>G151*0.34837972975311</f>
        <v>0</v>
      </c>
      <c r="AP151" s="35">
        <f>G151*(1-0.34837972975311)</f>
        <v>0</v>
      </c>
      <c r="AQ151" s="31" t="s">
        <v>13</v>
      </c>
      <c r="AV151" s="35">
        <f t="shared" si="15"/>
        <v>0</v>
      </c>
      <c r="AW151" s="35">
        <f t="shared" si="16"/>
        <v>0</v>
      </c>
      <c r="AX151" s="35">
        <f t="shared" si="17"/>
        <v>0</v>
      </c>
      <c r="AY151" s="36" t="s">
        <v>649</v>
      </c>
      <c r="AZ151" s="36" t="s">
        <v>675</v>
      </c>
      <c r="BA151" s="27" t="s">
        <v>681</v>
      </c>
      <c r="BC151" s="35">
        <f t="shared" si="18"/>
        <v>0</v>
      </c>
      <c r="BD151" s="35">
        <f t="shared" si="19"/>
        <v>0</v>
      </c>
      <c r="BE151" s="35">
        <v>0</v>
      </c>
      <c r="BF151" s="35">
        <f t="shared" si="20"/>
        <v>3.1199999999999999E-3</v>
      </c>
      <c r="BH151" s="20">
        <f t="shared" si="21"/>
        <v>0</v>
      </c>
      <c r="BI151" s="20">
        <f t="shared" si="22"/>
        <v>0</v>
      </c>
      <c r="BJ151" s="20">
        <f t="shared" si="23"/>
        <v>0</v>
      </c>
    </row>
    <row r="152" spans="1:62" x14ac:dyDescent="0.25">
      <c r="A152" s="4" t="s">
        <v>67</v>
      </c>
      <c r="B152" s="4"/>
      <c r="C152" s="4" t="s">
        <v>214</v>
      </c>
      <c r="D152" s="4" t="s">
        <v>443</v>
      </c>
      <c r="E152" s="4" t="s">
        <v>594</v>
      </c>
      <c r="F152" s="20">
        <v>7</v>
      </c>
      <c r="G152" s="88"/>
      <c r="H152" s="20">
        <f t="shared" si="0"/>
        <v>0</v>
      </c>
      <c r="I152" s="20">
        <f t="shared" si="1"/>
        <v>0</v>
      </c>
      <c r="J152" s="20">
        <f t="shared" si="2"/>
        <v>0</v>
      </c>
      <c r="K152" s="41">
        <f>IF(J305=0,0,J152/J305)</f>
        <v>0</v>
      </c>
      <c r="L152" s="20">
        <v>7.3999999999999999E-4</v>
      </c>
      <c r="M152" s="20">
        <f t="shared" si="3"/>
        <v>5.1799999999999997E-3</v>
      </c>
      <c r="N152" s="31" t="s">
        <v>620</v>
      </c>
      <c r="Z152" s="35">
        <f t="shared" si="4"/>
        <v>0</v>
      </c>
      <c r="AB152" s="35">
        <f t="shared" si="5"/>
        <v>0</v>
      </c>
      <c r="AC152" s="35">
        <f t="shared" si="6"/>
        <v>0</v>
      </c>
      <c r="AD152" s="35">
        <f t="shared" si="7"/>
        <v>0</v>
      </c>
      <c r="AE152" s="35">
        <f t="shared" si="8"/>
        <v>0</v>
      </c>
      <c r="AF152" s="35">
        <f t="shared" si="9"/>
        <v>0</v>
      </c>
      <c r="AG152" s="35">
        <f t="shared" si="10"/>
        <v>0</v>
      </c>
      <c r="AH152" s="35">
        <f t="shared" si="11"/>
        <v>0</v>
      </c>
      <c r="AI152" s="27"/>
      <c r="AJ152" s="20">
        <f t="shared" si="12"/>
        <v>0</v>
      </c>
      <c r="AK152" s="20">
        <f t="shared" si="13"/>
        <v>0</v>
      </c>
      <c r="AL152" s="20">
        <f t="shared" si="14"/>
        <v>0</v>
      </c>
      <c r="AN152" s="35">
        <v>21</v>
      </c>
      <c r="AO152" s="35">
        <f>G152*0.383811434302909</f>
        <v>0</v>
      </c>
      <c r="AP152" s="35">
        <f>G152*(1-0.383811434302909)</f>
        <v>0</v>
      </c>
      <c r="AQ152" s="31" t="s">
        <v>13</v>
      </c>
      <c r="AV152" s="35">
        <f t="shared" si="15"/>
        <v>0</v>
      </c>
      <c r="AW152" s="35">
        <f t="shared" si="16"/>
        <v>0</v>
      </c>
      <c r="AX152" s="35">
        <f t="shared" si="17"/>
        <v>0</v>
      </c>
      <c r="AY152" s="36" t="s">
        <v>649</v>
      </c>
      <c r="AZ152" s="36" t="s">
        <v>675</v>
      </c>
      <c r="BA152" s="27" t="s">
        <v>681</v>
      </c>
      <c r="BC152" s="35">
        <f t="shared" si="18"/>
        <v>0</v>
      </c>
      <c r="BD152" s="35">
        <f t="shared" si="19"/>
        <v>0</v>
      </c>
      <c r="BE152" s="35">
        <v>0</v>
      </c>
      <c r="BF152" s="35">
        <f t="shared" si="20"/>
        <v>5.1799999999999997E-3</v>
      </c>
      <c r="BH152" s="20">
        <f t="shared" si="21"/>
        <v>0</v>
      </c>
      <c r="BI152" s="20">
        <f t="shared" si="22"/>
        <v>0</v>
      </c>
      <c r="BJ152" s="20">
        <f t="shared" si="23"/>
        <v>0</v>
      </c>
    </row>
    <row r="153" spans="1:62" x14ac:dyDescent="0.25">
      <c r="A153" s="4" t="s">
        <v>68</v>
      </c>
      <c r="B153" s="4"/>
      <c r="C153" s="4" t="s">
        <v>215</v>
      </c>
      <c r="D153" s="4" t="s">
        <v>444</v>
      </c>
      <c r="E153" s="4" t="s">
        <v>594</v>
      </c>
      <c r="F153" s="20">
        <v>35</v>
      </c>
      <c r="G153" s="88"/>
      <c r="H153" s="20">
        <f t="shared" si="0"/>
        <v>0</v>
      </c>
      <c r="I153" s="20">
        <f t="shared" si="1"/>
        <v>0</v>
      </c>
      <c r="J153" s="20">
        <f t="shared" si="2"/>
        <v>0</v>
      </c>
      <c r="K153" s="41">
        <f>IF(J305=0,0,J153/J305)</f>
        <v>0</v>
      </c>
      <c r="L153" s="20">
        <v>6.9999999999999999E-4</v>
      </c>
      <c r="M153" s="20">
        <f t="shared" si="3"/>
        <v>2.4500000000000001E-2</v>
      </c>
      <c r="N153" s="31" t="s">
        <v>620</v>
      </c>
      <c r="Z153" s="35">
        <f t="shared" si="4"/>
        <v>0</v>
      </c>
      <c r="AB153" s="35">
        <f t="shared" si="5"/>
        <v>0</v>
      </c>
      <c r="AC153" s="35">
        <f t="shared" si="6"/>
        <v>0</v>
      </c>
      <c r="AD153" s="35">
        <f t="shared" si="7"/>
        <v>0</v>
      </c>
      <c r="AE153" s="35">
        <f t="shared" si="8"/>
        <v>0</v>
      </c>
      <c r="AF153" s="35">
        <f t="shared" si="9"/>
        <v>0</v>
      </c>
      <c r="AG153" s="35">
        <f t="shared" si="10"/>
        <v>0</v>
      </c>
      <c r="AH153" s="35">
        <f t="shared" si="11"/>
        <v>0</v>
      </c>
      <c r="AI153" s="27"/>
      <c r="AJ153" s="20">
        <f t="shared" si="12"/>
        <v>0</v>
      </c>
      <c r="AK153" s="20">
        <f t="shared" si="13"/>
        <v>0</v>
      </c>
      <c r="AL153" s="20">
        <f t="shared" si="14"/>
        <v>0</v>
      </c>
      <c r="AN153" s="35">
        <v>21</v>
      </c>
      <c r="AO153" s="35">
        <f>G153*0.500553047741473</f>
        <v>0</v>
      </c>
      <c r="AP153" s="35">
        <f>G153*(1-0.500553047741473)</f>
        <v>0</v>
      </c>
      <c r="AQ153" s="31" t="s">
        <v>13</v>
      </c>
      <c r="AV153" s="35">
        <f t="shared" si="15"/>
        <v>0</v>
      </c>
      <c r="AW153" s="35">
        <f t="shared" si="16"/>
        <v>0</v>
      </c>
      <c r="AX153" s="35">
        <f t="shared" si="17"/>
        <v>0</v>
      </c>
      <c r="AY153" s="36" t="s">
        <v>649</v>
      </c>
      <c r="AZ153" s="36" t="s">
        <v>675</v>
      </c>
      <c r="BA153" s="27" t="s">
        <v>681</v>
      </c>
      <c r="BC153" s="35">
        <f t="shared" si="18"/>
        <v>0</v>
      </c>
      <c r="BD153" s="35">
        <f t="shared" si="19"/>
        <v>0</v>
      </c>
      <c r="BE153" s="35">
        <v>0</v>
      </c>
      <c r="BF153" s="35">
        <f t="shared" si="20"/>
        <v>2.4500000000000001E-2</v>
      </c>
      <c r="BH153" s="20">
        <f t="shared" si="21"/>
        <v>0</v>
      </c>
      <c r="BI153" s="20">
        <f t="shared" si="22"/>
        <v>0</v>
      </c>
      <c r="BJ153" s="20">
        <f t="shared" si="23"/>
        <v>0</v>
      </c>
    </row>
    <row r="154" spans="1:62" x14ac:dyDescent="0.25">
      <c r="A154" s="4" t="s">
        <v>69</v>
      </c>
      <c r="B154" s="4"/>
      <c r="C154" s="4" t="s">
        <v>216</v>
      </c>
      <c r="D154" s="4" t="s">
        <v>445</v>
      </c>
      <c r="E154" s="4" t="s">
        <v>594</v>
      </c>
      <c r="F154" s="20">
        <v>38</v>
      </c>
      <c r="G154" s="88"/>
      <c r="H154" s="20">
        <f t="shared" si="0"/>
        <v>0</v>
      </c>
      <c r="I154" s="20">
        <f t="shared" si="1"/>
        <v>0</v>
      </c>
      <c r="J154" s="20">
        <f t="shared" si="2"/>
        <v>0</v>
      </c>
      <c r="K154" s="41">
        <f>IF(J305=0,0,J154/J305)</f>
        <v>0</v>
      </c>
      <c r="L154" s="20">
        <v>2.0999999999999999E-3</v>
      </c>
      <c r="M154" s="20">
        <f t="shared" si="3"/>
        <v>7.9799999999999996E-2</v>
      </c>
      <c r="N154" s="31" t="s">
        <v>620</v>
      </c>
      <c r="Z154" s="35">
        <f t="shared" si="4"/>
        <v>0</v>
      </c>
      <c r="AB154" s="35">
        <f t="shared" si="5"/>
        <v>0</v>
      </c>
      <c r="AC154" s="35">
        <f t="shared" si="6"/>
        <v>0</v>
      </c>
      <c r="AD154" s="35">
        <f t="shared" si="7"/>
        <v>0</v>
      </c>
      <c r="AE154" s="35">
        <f t="shared" si="8"/>
        <v>0</v>
      </c>
      <c r="AF154" s="35">
        <f t="shared" si="9"/>
        <v>0</v>
      </c>
      <c r="AG154" s="35">
        <f t="shared" si="10"/>
        <v>0</v>
      </c>
      <c r="AH154" s="35">
        <f t="shared" si="11"/>
        <v>0</v>
      </c>
      <c r="AI154" s="27"/>
      <c r="AJ154" s="20">
        <f t="shared" si="12"/>
        <v>0</v>
      </c>
      <c r="AK154" s="20">
        <f t="shared" si="13"/>
        <v>0</v>
      </c>
      <c r="AL154" s="20">
        <f t="shared" si="14"/>
        <v>0</v>
      </c>
      <c r="AN154" s="35">
        <v>21</v>
      </c>
      <c r="AO154" s="35">
        <f>G154*0.390942148760331</f>
        <v>0</v>
      </c>
      <c r="AP154" s="35">
        <f>G154*(1-0.390942148760331)</f>
        <v>0</v>
      </c>
      <c r="AQ154" s="31" t="s">
        <v>13</v>
      </c>
      <c r="AV154" s="35">
        <f t="shared" si="15"/>
        <v>0</v>
      </c>
      <c r="AW154" s="35">
        <f t="shared" si="16"/>
        <v>0</v>
      </c>
      <c r="AX154" s="35">
        <f t="shared" si="17"/>
        <v>0</v>
      </c>
      <c r="AY154" s="36" t="s">
        <v>649</v>
      </c>
      <c r="AZ154" s="36" t="s">
        <v>675</v>
      </c>
      <c r="BA154" s="27" t="s">
        <v>681</v>
      </c>
      <c r="BC154" s="35">
        <f t="shared" si="18"/>
        <v>0</v>
      </c>
      <c r="BD154" s="35">
        <f t="shared" si="19"/>
        <v>0</v>
      </c>
      <c r="BE154" s="35">
        <v>0</v>
      </c>
      <c r="BF154" s="35">
        <f t="shared" si="20"/>
        <v>7.9799999999999996E-2</v>
      </c>
      <c r="BH154" s="20">
        <f t="shared" si="21"/>
        <v>0</v>
      </c>
      <c r="BI154" s="20">
        <f t="shared" si="22"/>
        <v>0</v>
      </c>
      <c r="BJ154" s="20">
        <f t="shared" si="23"/>
        <v>0</v>
      </c>
    </row>
    <row r="155" spans="1:62" x14ac:dyDescent="0.25">
      <c r="A155" s="4" t="s">
        <v>70</v>
      </c>
      <c r="B155" s="4"/>
      <c r="C155" s="4" t="s">
        <v>217</v>
      </c>
      <c r="D155" s="4" t="s">
        <v>446</v>
      </c>
      <c r="E155" s="4" t="s">
        <v>594</v>
      </c>
      <c r="F155" s="20">
        <v>10</v>
      </c>
      <c r="G155" s="88"/>
      <c r="H155" s="20">
        <f t="shared" si="0"/>
        <v>0</v>
      </c>
      <c r="I155" s="20">
        <f t="shared" si="1"/>
        <v>0</v>
      </c>
      <c r="J155" s="20">
        <f t="shared" si="2"/>
        <v>0</v>
      </c>
      <c r="K155" s="41">
        <f>IF(J305=0,0,J155/J305)</f>
        <v>0</v>
      </c>
      <c r="L155" s="20">
        <v>2.5200000000000001E-3</v>
      </c>
      <c r="M155" s="20">
        <f t="shared" si="3"/>
        <v>2.52E-2</v>
      </c>
      <c r="N155" s="31" t="s">
        <v>620</v>
      </c>
      <c r="Z155" s="35">
        <f t="shared" si="4"/>
        <v>0</v>
      </c>
      <c r="AB155" s="35">
        <f t="shared" si="5"/>
        <v>0</v>
      </c>
      <c r="AC155" s="35">
        <f t="shared" si="6"/>
        <v>0</v>
      </c>
      <c r="AD155" s="35">
        <f t="shared" si="7"/>
        <v>0</v>
      </c>
      <c r="AE155" s="35">
        <f t="shared" si="8"/>
        <v>0</v>
      </c>
      <c r="AF155" s="35">
        <f t="shared" si="9"/>
        <v>0</v>
      </c>
      <c r="AG155" s="35">
        <f t="shared" si="10"/>
        <v>0</v>
      </c>
      <c r="AH155" s="35">
        <f t="shared" si="11"/>
        <v>0</v>
      </c>
      <c r="AI155" s="27"/>
      <c r="AJ155" s="20">
        <f t="shared" si="12"/>
        <v>0</v>
      </c>
      <c r="AK155" s="20">
        <f t="shared" si="13"/>
        <v>0</v>
      </c>
      <c r="AL155" s="20">
        <f t="shared" si="14"/>
        <v>0</v>
      </c>
      <c r="AN155" s="35">
        <v>21</v>
      </c>
      <c r="AO155" s="35">
        <f>G155*0.481014084507042</f>
        <v>0</v>
      </c>
      <c r="AP155" s="35">
        <f>G155*(1-0.481014084507042)</f>
        <v>0</v>
      </c>
      <c r="AQ155" s="31" t="s">
        <v>13</v>
      </c>
      <c r="AV155" s="35">
        <f t="shared" si="15"/>
        <v>0</v>
      </c>
      <c r="AW155" s="35">
        <f t="shared" si="16"/>
        <v>0</v>
      </c>
      <c r="AX155" s="35">
        <f t="shared" si="17"/>
        <v>0</v>
      </c>
      <c r="AY155" s="36" t="s">
        <v>649</v>
      </c>
      <c r="AZ155" s="36" t="s">
        <v>675</v>
      </c>
      <c r="BA155" s="27" t="s">
        <v>681</v>
      </c>
      <c r="BC155" s="35">
        <f t="shared" si="18"/>
        <v>0</v>
      </c>
      <c r="BD155" s="35">
        <f t="shared" si="19"/>
        <v>0</v>
      </c>
      <c r="BE155" s="35">
        <v>0</v>
      </c>
      <c r="BF155" s="35">
        <f t="shared" si="20"/>
        <v>2.52E-2</v>
      </c>
      <c r="BH155" s="20">
        <f t="shared" si="21"/>
        <v>0</v>
      </c>
      <c r="BI155" s="20">
        <f t="shared" si="22"/>
        <v>0</v>
      </c>
      <c r="BJ155" s="20">
        <f t="shared" si="23"/>
        <v>0</v>
      </c>
    </row>
    <row r="156" spans="1:62" x14ac:dyDescent="0.25">
      <c r="A156" s="4" t="s">
        <v>71</v>
      </c>
      <c r="B156" s="4"/>
      <c r="C156" s="4" t="s">
        <v>218</v>
      </c>
      <c r="D156" s="4" t="s">
        <v>447</v>
      </c>
      <c r="E156" s="4" t="s">
        <v>594</v>
      </c>
      <c r="F156" s="20">
        <v>12</v>
      </c>
      <c r="G156" s="88"/>
      <c r="H156" s="20">
        <f t="shared" si="0"/>
        <v>0</v>
      </c>
      <c r="I156" s="20">
        <f t="shared" si="1"/>
        <v>0</v>
      </c>
      <c r="J156" s="20">
        <f t="shared" si="2"/>
        <v>0</v>
      </c>
      <c r="K156" s="41">
        <f>IF(J305=0,0,J156/J305)</f>
        <v>0</v>
      </c>
      <c r="L156" s="20">
        <v>3.5699999999999998E-3</v>
      </c>
      <c r="M156" s="20">
        <f t="shared" si="3"/>
        <v>4.2839999999999996E-2</v>
      </c>
      <c r="N156" s="31" t="s">
        <v>620</v>
      </c>
      <c r="Z156" s="35">
        <f t="shared" si="4"/>
        <v>0</v>
      </c>
      <c r="AB156" s="35">
        <f t="shared" si="5"/>
        <v>0</v>
      </c>
      <c r="AC156" s="35">
        <f t="shared" si="6"/>
        <v>0</v>
      </c>
      <c r="AD156" s="35">
        <f t="shared" si="7"/>
        <v>0</v>
      </c>
      <c r="AE156" s="35">
        <f t="shared" si="8"/>
        <v>0</v>
      </c>
      <c r="AF156" s="35">
        <f t="shared" si="9"/>
        <v>0</v>
      </c>
      <c r="AG156" s="35">
        <f t="shared" si="10"/>
        <v>0</v>
      </c>
      <c r="AH156" s="35">
        <f t="shared" si="11"/>
        <v>0</v>
      </c>
      <c r="AI156" s="27"/>
      <c r="AJ156" s="20">
        <f t="shared" si="12"/>
        <v>0</v>
      </c>
      <c r="AK156" s="20">
        <f t="shared" si="13"/>
        <v>0</v>
      </c>
      <c r="AL156" s="20">
        <f t="shared" si="14"/>
        <v>0</v>
      </c>
      <c r="AN156" s="35">
        <v>21</v>
      </c>
      <c r="AO156" s="35">
        <f>G156*0.621330343796711</f>
        <v>0</v>
      </c>
      <c r="AP156" s="35">
        <f>G156*(1-0.621330343796711)</f>
        <v>0</v>
      </c>
      <c r="AQ156" s="31" t="s">
        <v>13</v>
      </c>
      <c r="AV156" s="35">
        <f t="shared" si="15"/>
        <v>0</v>
      </c>
      <c r="AW156" s="35">
        <f t="shared" si="16"/>
        <v>0</v>
      </c>
      <c r="AX156" s="35">
        <f t="shared" si="17"/>
        <v>0</v>
      </c>
      <c r="AY156" s="36" t="s">
        <v>649</v>
      </c>
      <c r="AZ156" s="36" t="s">
        <v>675</v>
      </c>
      <c r="BA156" s="27" t="s">
        <v>681</v>
      </c>
      <c r="BC156" s="35">
        <f t="shared" si="18"/>
        <v>0</v>
      </c>
      <c r="BD156" s="35">
        <f t="shared" si="19"/>
        <v>0</v>
      </c>
      <c r="BE156" s="35">
        <v>0</v>
      </c>
      <c r="BF156" s="35">
        <f t="shared" si="20"/>
        <v>4.2839999999999996E-2</v>
      </c>
      <c r="BH156" s="20">
        <f t="shared" si="21"/>
        <v>0</v>
      </c>
      <c r="BI156" s="20">
        <f t="shared" si="22"/>
        <v>0</v>
      </c>
      <c r="BJ156" s="20">
        <f t="shared" si="23"/>
        <v>0</v>
      </c>
    </row>
    <row r="157" spans="1:62" x14ac:dyDescent="0.25">
      <c r="A157" s="4" t="s">
        <v>72</v>
      </c>
      <c r="B157" s="4"/>
      <c r="C157" s="4" t="s">
        <v>219</v>
      </c>
      <c r="D157" s="4" t="s">
        <v>448</v>
      </c>
      <c r="E157" s="4" t="s">
        <v>597</v>
      </c>
      <c r="F157" s="20">
        <v>4</v>
      </c>
      <c r="G157" s="88"/>
      <c r="H157" s="20">
        <f t="shared" si="0"/>
        <v>0</v>
      </c>
      <c r="I157" s="20">
        <f t="shared" si="1"/>
        <v>0</v>
      </c>
      <c r="J157" s="20">
        <f t="shared" si="2"/>
        <v>0</v>
      </c>
      <c r="K157" s="41">
        <f>IF(J305=0,0,J157/J305)</f>
        <v>0</v>
      </c>
      <c r="L157" s="20">
        <v>0</v>
      </c>
      <c r="M157" s="20">
        <f t="shared" si="3"/>
        <v>0</v>
      </c>
      <c r="N157" s="31" t="s">
        <v>620</v>
      </c>
      <c r="Z157" s="35">
        <f t="shared" si="4"/>
        <v>0</v>
      </c>
      <c r="AB157" s="35">
        <f t="shared" si="5"/>
        <v>0</v>
      </c>
      <c r="AC157" s="35">
        <f t="shared" si="6"/>
        <v>0</v>
      </c>
      <c r="AD157" s="35">
        <f t="shared" si="7"/>
        <v>0</v>
      </c>
      <c r="AE157" s="35">
        <f t="shared" si="8"/>
        <v>0</v>
      </c>
      <c r="AF157" s="35">
        <f t="shared" si="9"/>
        <v>0</v>
      </c>
      <c r="AG157" s="35">
        <f t="shared" si="10"/>
        <v>0</v>
      </c>
      <c r="AH157" s="35">
        <f t="shared" si="11"/>
        <v>0</v>
      </c>
      <c r="AI157" s="27"/>
      <c r="AJ157" s="20">
        <f t="shared" si="12"/>
        <v>0</v>
      </c>
      <c r="AK157" s="20">
        <f t="shared" si="13"/>
        <v>0</v>
      </c>
      <c r="AL157" s="20">
        <f t="shared" si="14"/>
        <v>0</v>
      </c>
      <c r="AN157" s="35">
        <v>21</v>
      </c>
      <c r="AO157" s="35">
        <f>G157*0</f>
        <v>0</v>
      </c>
      <c r="AP157" s="35">
        <f>G157*(1-0)</f>
        <v>0</v>
      </c>
      <c r="AQ157" s="31" t="s">
        <v>13</v>
      </c>
      <c r="AV157" s="35">
        <f t="shared" si="15"/>
        <v>0</v>
      </c>
      <c r="AW157" s="35">
        <f t="shared" si="16"/>
        <v>0</v>
      </c>
      <c r="AX157" s="35">
        <f t="shared" si="17"/>
        <v>0</v>
      </c>
      <c r="AY157" s="36" t="s">
        <v>649</v>
      </c>
      <c r="AZ157" s="36" t="s">
        <v>675</v>
      </c>
      <c r="BA157" s="27" t="s">
        <v>681</v>
      </c>
      <c r="BC157" s="35">
        <f t="shared" si="18"/>
        <v>0</v>
      </c>
      <c r="BD157" s="35">
        <f t="shared" si="19"/>
        <v>0</v>
      </c>
      <c r="BE157" s="35">
        <v>0</v>
      </c>
      <c r="BF157" s="35">
        <f t="shared" si="20"/>
        <v>0</v>
      </c>
      <c r="BH157" s="20">
        <f t="shared" si="21"/>
        <v>0</v>
      </c>
      <c r="BI157" s="20">
        <f t="shared" si="22"/>
        <v>0</v>
      </c>
      <c r="BJ157" s="20">
        <f t="shared" si="23"/>
        <v>0</v>
      </c>
    </row>
    <row r="158" spans="1:62" x14ac:dyDescent="0.25">
      <c r="A158" s="4" t="s">
        <v>73</v>
      </c>
      <c r="B158" s="4"/>
      <c r="C158" s="4" t="s">
        <v>220</v>
      </c>
      <c r="D158" s="4" t="s">
        <v>449</v>
      </c>
      <c r="E158" s="4" t="s">
        <v>597</v>
      </c>
      <c r="F158" s="20">
        <v>2</v>
      </c>
      <c r="G158" s="88"/>
      <c r="H158" s="20">
        <f t="shared" si="0"/>
        <v>0</v>
      </c>
      <c r="I158" s="20">
        <f t="shared" si="1"/>
        <v>0</v>
      </c>
      <c r="J158" s="20">
        <f t="shared" si="2"/>
        <v>0</v>
      </c>
      <c r="K158" s="41">
        <f>IF(J305=0,0,J158/J305)</f>
        <v>0</v>
      </c>
      <c r="L158" s="20">
        <v>3.5249999999999997E-2</v>
      </c>
      <c r="M158" s="20">
        <f t="shared" si="3"/>
        <v>7.0499999999999993E-2</v>
      </c>
      <c r="N158" s="31" t="s">
        <v>620</v>
      </c>
      <c r="Z158" s="35">
        <f t="shared" si="4"/>
        <v>0</v>
      </c>
      <c r="AB158" s="35">
        <f t="shared" si="5"/>
        <v>0</v>
      </c>
      <c r="AC158" s="35">
        <f t="shared" si="6"/>
        <v>0</v>
      </c>
      <c r="AD158" s="35">
        <f t="shared" si="7"/>
        <v>0</v>
      </c>
      <c r="AE158" s="35">
        <f t="shared" si="8"/>
        <v>0</v>
      </c>
      <c r="AF158" s="35">
        <f t="shared" si="9"/>
        <v>0</v>
      </c>
      <c r="AG158" s="35">
        <f t="shared" si="10"/>
        <v>0</v>
      </c>
      <c r="AH158" s="35">
        <f t="shared" si="11"/>
        <v>0</v>
      </c>
      <c r="AI158" s="27"/>
      <c r="AJ158" s="20">
        <f t="shared" si="12"/>
        <v>0</v>
      </c>
      <c r="AK158" s="20">
        <f t="shared" si="13"/>
        <v>0</v>
      </c>
      <c r="AL158" s="20">
        <f t="shared" si="14"/>
        <v>0</v>
      </c>
      <c r="AN158" s="35">
        <v>21</v>
      </c>
      <c r="AO158" s="35">
        <f>G158*0.890110118367601</f>
        <v>0</v>
      </c>
      <c r="AP158" s="35">
        <f>G158*(1-0.890110118367601)</f>
        <v>0</v>
      </c>
      <c r="AQ158" s="31" t="s">
        <v>13</v>
      </c>
      <c r="AV158" s="35">
        <f t="shared" si="15"/>
        <v>0</v>
      </c>
      <c r="AW158" s="35">
        <f t="shared" si="16"/>
        <v>0</v>
      </c>
      <c r="AX158" s="35">
        <f t="shared" si="17"/>
        <v>0</v>
      </c>
      <c r="AY158" s="36" t="s">
        <v>649</v>
      </c>
      <c r="AZ158" s="36" t="s">
        <v>675</v>
      </c>
      <c r="BA158" s="27" t="s">
        <v>681</v>
      </c>
      <c r="BC158" s="35">
        <f t="shared" si="18"/>
        <v>0</v>
      </c>
      <c r="BD158" s="35">
        <f t="shared" si="19"/>
        <v>0</v>
      </c>
      <c r="BE158" s="35">
        <v>0</v>
      </c>
      <c r="BF158" s="35">
        <f t="shared" si="20"/>
        <v>7.0499999999999993E-2</v>
      </c>
      <c r="BH158" s="20">
        <f t="shared" si="21"/>
        <v>0</v>
      </c>
      <c r="BI158" s="20">
        <f t="shared" si="22"/>
        <v>0</v>
      </c>
      <c r="BJ158" s="20">
        <f t="shared" si="23"/>
        <v>0</v>
      </c>
    </row>
    <row r="159" spans="1:62" x14ac:dyDescent="0.25">
      <c r="A159" s="4" t="s">
        <v>74</v>
      </c>
      <c r="B159" s="4"/>
      <c r="C159" s="4" t="s">
        <v>221</v>
      </c>
      <c r="D159" s="4" t="s">
        <v>450</v>
      </c>
      <c r="E159" s="4" t="s">
        <v>594</v>
      </c>
      <c r="F159" s="20">
        <v>109.5</v>
      </c>
      <c r="G159" s="88"/>
      <c r="H159" s="20">
        <f t="shared" si="0"/>
        <v>0</v>
      </c>
      <c r="I159" s="20">
        <f t="shared" si="1"/>
        <v>0</v>
      </c>
      <c r="J159" s="20">
        <f t="shared" si="2"/>
        <v>0</v>
      </c>
      <c r="K159" s="41">
        <f>IF(J305=0,0,J159/J305)</f>
        <v>0</v>
      </c>
      <c r="L159" s="20">
        <v>0</v>
      </c>
      <c r="M159" s="20">
        <f t="shared" si="3"/>
        <v>0</v>
      </c>
      <c r="N159" s="31" t="s">
        <v>620</v>
      </c>
      <c r="Z159" s="35">
        <f t="shared" si="4"/>
        <v>0</v>
      </c>
      <c r="AB159" s="35">
        <f t="shared" si="5"/>
        <v>0</v>
      </c>
      <c r="AC159" s="35">
        <f t="shared" si="6"/>
        <v>0</v>
      </c>
      <c r="AD159" s="35">
        <f t="shared" si="7"/>
        <v>0</v>
      </c>
      <c r="AE159" s="35">
        <f t="shared" si="8"/>
        <v>0</v>
      </c>
      <c r="AF159" s="35">
        <f t="shared" si="9"/>
        <v>0</v>
      </c>
      <c r="AG159" s="35">
        <f t="shared" si="10"/>
        <v>0</v>
      </c>
      <c r="AH159" s="35">
        <f t="shared" si="11"/>
        <v>0</v>
      </c>
      <c r="AI159" s="27"/>
      <c r="AJ159" s="20">
        <f t="shared" si="12"/>
        <v>0</v>
      </c>
      <c r="AK159" s="20">
        <f t="shared" si="13"/>
        <v>0</v>
      </c>
      <c r="AL159" s="20">
        <f t="shared" si="14"/>
        <v>0</v>
      </c>
      <c r="AN159" s="35">
        <v>21</v>
      </c>
      <c r="AO159" s="35">
        <f>G159*0.026431718061674</f>
        <v>0</v>
      </c>
      <c r="AP159" s="35">
        <f>G159*(1-0.026431718061674)</f>
        <v>0</v>
      </c>
      <c r="AQ159" s="31" t="s">
        <v>13</v>
      </c>
      <c r="AV159" s="35">
        <f t="shared" si="15"/>
        <v>0</v>
      </c>
      <c r="AW159" s="35">
        <f t="shared" si="16"/>
        <v>0</v>
      </c>
      <c r="AX159" s="35">
        <f t="shared" si="17"/>
        <v>0</v>
      </c>
      <c r="AY159" s="36" t="s">
        <v>649</v>
      </c>
      <c r="AZ159" s="36" t="s">
        <v>675</v>
      </c>
      <c r="BA159" s="27" t="s">
        <v>681</v>
      </c>
      <c r="BC159" s="35">
        <f t="shared" si="18"/>
        <v>0</v>
      </c>
      <c r="BD159" s="35">
        <f t="shared" si="19"/>
        <v>0</v>
      </c>
      <c r="BE159" s="35">
        <v>0</v>
      </c>
      <c r="BF159" s="35">
        <f t="shared" si="20"/>
        <v>0</v>
      </c>
      <c r="BH159" s="20">
        <f t="shared" si="21"/>
        <v>0</v>
      </c>
      <c r="BI159" s="20">
        <f t="shared" si="22"/>
        <v>0</v>
      </c>
      <c r="BJ159" s="20">
        <f t="shared" si="23"/>
        <v>0</v>
      </c>
    </row>
    <row r="160" spans="1:62" x14ac:dyDescent="0.25">
      <c r="A160" s="5"/>
      <c r="B160" s="13"/>
      <c r="C160" s="13" t="s">
        <v>222</v>
      </c>
      <c r="D160" s="13" t="s">
        <v>451</v>
      </c>
      <c r="E160" s="5" t="s">
        <v>6</v>
      </c>
      <c r="F160" s="5" t="s">
        <v>6</v>
      </c>
      <c r="G160" s="90" t="s">
        <v>6</v>
      </c>
      <c r="H160" s="38">
        <f>SUM(H161:H172)</f>
        <v>0</v>
      </c>
      <c r="I160" s="38">
        <f>SUM(I161:I172)</f>
        <v>0</v>
      </c>
      <c r="J160" s="38">
        <f>SUM(J161:J172)</f>
        <v>0</v>
      </c>
      <c r="K160" s="42">
        <f>IF(J305=0,0,J160/J305)</f>
        <v>0</v>
      </c>
      <c r="L160" s="27"/>
      <c r="M160" s="38">
        <f>SUM(M161:M172)</f>
        <v>0.1323</v>
      </c>
      <c r="N160" s="27"/>
      <c r="AI160" s="27"/>
      <c r="AS160" s="38">
        <f>SUM(AJ161:AJ172)</f>
        <v>0</v>
      </c>
      <c r="AT160" s="38">
        <f>SUM(AK161:AK172)</f>
        <v>0</v>
      </c>
      <c r="AU160" s="38">
        <f>SUM(AL161:AL172)</f>
        <v>0</v>
      </c>
    </row>
    <row r="161" spans="1:62" x14ac:dyDescent="0.25">
      <c r="A161" s="4" t="s">
        <v>75</v>
      </c>
      <c r="B161" s="4"/>
      <c r="C161" s="4" t="s">
        <v>223</v>
      </c>
      <c r="D161" s="4" t="s">
        <v>452</v>
      </c>
      <c r="E161" s="4" t="s">
        <v>594</v>
      </c>
      <c r="F161" s="20">
        <v>20</v>
      </c>
      <c r="G161" s="88"/>
      <c r="H161" s="20">
        <f>F161*AO161</f>
        <v>0</v>
      </c>
      <c r="I161" s="20">
        <f>F161*AP161</f>
        <v>0</v>
      </c>
      <c r="J161" s="20">
        <f>F161*G161</f>
        <v>0</v>
      </c>
      <c r="K161" s="41">
        <f>IF(J305=0,0,J161/J305)</f>
        <v>0</v>
      </c>
      <c r="L161" s="20">
        <v>5.6299999999999996E-3</v>
      </c>
      <c r="M161" s="20">
        <f>F161*L161</f>
        <v>0.11259999999999999</v>
      </c>
      <c r="N161" s="31" t="s">
        <v>620</v>
      </c>
      <c r="Z161" s="35">
        <f>IF(AQ161="5",BJ161,0)</f>
        <v>0</v>
      </c>
      <c r="AB161" s="35">
        <f>IF(AQ161="1",BH161,0)</f>
        <v>0</v>
      </c>
      <c r="AC161" s="35">
        <f>IF(AQ161="1",BI161,0)</f>
        <v>0</v>
      </c>
      <c r="AD161" s="35">
        <f>IF(AQ161="7",BH161,0)</f>
        <v>0</v>
      </c>
      <c r="AE161" s="35">
        <f>IF(AQ161="7",BI161,0)</f>
        <v>0</v>
      </c>
      <c r="AF161" s="35">
        <f>IF(AQ161="2",BH161,0)</f>
        <v>0</v>
      </c>
      <c r="AG161" s="35">
        <f>IF(AQ161="2",BI161,0)</f>
        <v>0</v>
      </c>
      <c r="AH161" s="35">
        <f>IF(AQ161="0",BJ161,0)</f>
        <v>0</v>
      </c>
      <c r="AI161" s="27"/>
      <c r="AJ161" s="20">
        <f>IF(AN161=0,J161,0)</f>
        <v>0</v>
      </c>
      <c r="AK161" s="20">
        <f>IF(AN161=15,J161,0)</f>
        <v>0</v>
      </c>
      <c r="AL161" s="20">
        <f>IF(AN161=21,J161,0)</f>
        <v>0</v>
      </c>
      <c r="AN161" s="35">
        <v>21</v>
      </c>
      <c r="AO161" s="35">
        <f>G161*0.408901556676168</f>
        <v>0</v>
      </c>
      <c r="AP161" s="35">
        <f>G161*(1-0.408901556676168)</f>
        <v>0</v>
      </c>
      <c r="AQ161" s="31" t="s">
        <v>13</v>
      </c>
      <c r="AV161" s="35">
        <f>AW161+AX161</f>
        <v>0</v>
      </c>
      <c r="AW161" s="35">
        <f>F161*AO161</f>
        <v>0</v>
      </c>
      <c r="AX161" s="35">
        <f>F161*AP161</f>
        <v>0</v>
      </c>
      <c r="AY161" s="36" t="s">
        <v>650</v>
      </c>
      <c r="AZ161" s="36" t="s">
        <v>675</v>
      </c>
      <c r="BA161" s="27" t="s">
        <v>681</v>
      </c>
      <c r="BC161" s="35">
        <f>AW161+AX161</f>
        <v>0</v>
      </c>
      <c r="BD161" s="35">
        <f>G161/(100-BE161)*100</f>
        <v>0</v>
      </c>
      <c r="BE161" s="35">
        <v>0</v>
      </c>
      <c r="BF161" s="35">
        <f>M161</f>
        <v>0.11259999999999999</v>
      </c>
      <c r="BH161" s="20">
        <f>F161*AO161</f>
        <v>0</v>
      </c>
      <c r="BI161" s="20">
        <f>F161*AP161</f>
        <v>0</v>
      </c>
      <c r="BJ161" s="20">
        <f>F161*G161</f>
        <v>0</v>
      </c>
    </row>
    <row r="162" spans="1:62" x14ac:dyDescent="0.25">
      <c r="A162" s="4" t="s">
        <v>76</v>
      </c>
      <c r="B162" s="4"/>
      <c r="C162" s="4" t="s">
        <v>224</v>
      </c>
      <c r="D162" s="4" t="s">
        <v>453</v>
      </c>
      <c r="E162" s="4" t="s">
        <v>594</v>
      </c>
      <c r="F162" s="20">
        <v>10</v>
      </c>
      <c r="G162" s="88"/>
      <c r="H162" s="20">
        <f>F162*AO162</f>
        <v>0</v>
      </c>
      <c r="I162" s="20">
        <f>F162*AP162</f>
        <v>0</v>
      </c>
      <c r="J162" s="20">
        <f>F162*G162</f>
        <v>0</v>
      </c>
      <c r="K162" s="41">
        <f>IF(J305=0,0,J162/J305)</f>
        <v>0</v>
      </c>
      <c r="L162" s="20">
        <v>2.0000000000000002E-5</v>
      </c>
      <c r="M162" s="20">
        <f>F162*L162</f>
        <v>2.0000000000000001E-4</v>
      </c>
      <c r="N162" s="31" t="s">
        <v>620</v>
      </c>
      <c r="Z162" s="35">
        <f>IF(AQ162="5",BJ162,0)</f>
        <v>0</v>
      </c>
      <c r="AB162" s="35">
        <f>IF(AQ162="1",BH162,0)</f>
        <v>0</v>
      </c>
      <c r="AC162" s="35">
        <f>IF(AQ162="1",BI162,0)</f>
        <v>0</v>
      </c>
      <c r="AD162" s="35">
        <f>IF(AQ162="7",BH162,0)</f>
        <v>0</v>
      </c>
      <c r="AE162" s="35">
        <f>IF(AQ162="7",BI162,0)</f>
        <v>0</v>
      </c>
      <c r="AF162" s="35">
        <f>IF(AQ162="2",BH162,0)</f>
        <v>0</v>
      </c>
      <c r="AG162" s="35">
        <f>IF(AQ162="2",BI162,0)</f>
        <v>0</v>
      </c>
      <c r="AH162" s="35">
        <f>IF(AQ162="0",BJ162,0)</f>
        <v>0</v>
      </c>
      <c r="AI162" s="27"/>
      <c r="AJ162" s="20">
        <f>IF(AN162=0,J162,0)</f>
        <v>0</v>
      </c>
      <c r="AK162" s="20">
        <f>IF(AN162=15,J162,0)</f>
        <v>0</v>
      </c>
      <c r="AL162" s="20">
        <f>IF(AN162=21,J162,0)</f>
        <v>0</v>
      </c>
      <c r="AN162" s="35">
        <v>21</v>
      </c>
      <c r="AO162" s="35">
        <f>G162*0.287108632272785</f>
        <v>0</v>
      </c>
      <c r="AP162" s="35">
        <f>G162*(1-0.287108632272785)</f>
        <v>0</v>
      </c>
      <c r="AQ162" s="31" t="s">
        <v>13</v>
      </c>
      <c r="AV162" s="35">
        <f>AW162+AX162</f>
        <v>0</v>
      </c>
      <c r="AW162" s="35">
        <f>F162*AO162</f>
        <v>0</v>
      </c>
      <c r="AX162" s="35">
        <f>F162*AP162</f>
        <v>0</v>
      </c>
      <c r="AY162" s="36" t="s">
        <v>650</v>
      </c>
      <c r="AZ162" s="36" t="s">
        <v>675</v>
      </c>
      <c r="BA162" s="27" t="s">
        <v>681</v>
      </c>
      <c r="BC162" s="35">
        <f>AW162+AX162</f>
        <v>0</v>
      </c>
      <c r="BD162" s="35">
        <f>G162/(100-BE162)*100</f>
        <v>0</v>
      </c>
      <c r="BE162" s="35">
        <v>0</v>
      </c>
      <c r="BF162" s="35">
        <f>M162</f>
        <v>2.0000000000000001E-4</v>
      </c>
      <c r="BH162" s="20">
        <f>F162*AO162</f>
        <v>0</v>
      </c>
      <c r="BI162" s="20">
        <f>F162*AP162</f>
        <v>0</v>
      </c>
      <c r="BJ162" s="20">
        <f>F162*G162</f>
        <v>0</v>
      </c>
    </row>
    <row r="163" spans="1:62" x14ac:dyDescent="0.25">
      <c r="D163" s="17" t="s">
        <v>454</v>
      </c>
    </row>
    <row r="164" spans="1:62" x14ac:dyDescent="0.25">
      <c r="C164" s="14" t="s">
        <v>151</v>
      </c>
      <c r="D164" s="141" t="s">
        <v>455</v>
      </c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</row>
    <row r="165" spans="1:62" x14ac:dyDescent="0.25">
      <c r="A165" s="4" t="s">
        <v>77</v>
      </c>
      <c r="B165" s="4"/>
      <c r="C165" s="4" t="s">
        <v>225</v>
      </c>
      <c r="D165" s="4" t="s">
        <v>456</v>
      </c>
      <c r="E165" s="4" t="s">
        <v>594</v>
      </c>
      <c r="F165" s="20">
        <v>10</v>
      </c>
      <c r="G165" s="88"/>
      <c r="H165" s="20">
        <f>F165*AO165</f>
        <v>0</v>
      </c>
      <c r="I165" s="20">
        <f>F165*AP165</f>
        <v>0</v>
      </c>
      <c r="J165" s="20">
        <f>F165*G165</f>
        <v>0</v>
      </c>
      <c r="K165" s="41">
        <f>IF(J305=0,0,J165/J305)</f>
        <v>0</v>
      </c>
      <c r="L165" s="20">
        <v>3.0000000000000001E-5</v>
      </c>
      <c r="M165" s="20">
        <f>F165*L165</f>
        <v>3.0000000000000003E-4</v>
      </c>
      <c r="N165" s="31" t="s">
        <v>620</v>
      </c>
      <c r="Z165" s="35">
        <f>IF(AQ165="5",BJ165,0)</f>
        <v>0</v>
      </c>
      <c r="AB165" s="35">
        <f>IF(AQ165="1",BH165,0)</f>
        <v>0</v>
      </c>
      <c r="AC165" s="35">
        <f>IF(AQ165="1",BI165,0)</f>
        <v>0</v>
      </c>
      <c r="AD165" s="35">
        <f>IF(AQ165="7",BH165,0)</f>
        <v>0</v>
      </c>
      <c r="AE165" s="35">
        <f>IF(AQ165="7",BI165,0)</f>
        <v>0</v>
      </c>
      <c r="AF165" s="35">
        <f>IF(AQ165="2",BH165,0)</f>
        <v>0</v>
      </c>
      <c r="AG165" s="35">
        <f>IF(AQ165="2",BI165,0)</f>
        <v>0</v>
      </c>
      <c r="AH165" s="35">
        <f>IF(AQ165="0",BJ165,0)</f>
        <v>0</v>
      </c>
      <c r="AI165" s="27"/>
      <c r="AJ165" s="20">
        <f>IF(AN165=0,J165,0)</f>
        <v>0</v>
      </c>
      <c r="AK165" s="20">
        <f>IF(AN165=15,J165,0)</f>
        <v>0</v>
      </c>
      <c r="AL165" s="20">
        <f>IF(AN165=21,J165,0)</f>
        <v>0</v>
      </c>
      <c r="AN165" s="35">
        <v>21</v>
      </c>
      <c r="AO165" s="35">
        <f>G165*0.398331372339288</f>
        <v>0</v>
      </c>
      <c r="AP165" s="35">
        <f>G165*(1-0.398331372339288)</f>
        <v>0</v>
      </c>
      <c r="AQ165" s="31" t="s">
        <v>13</v>
      </c>
      <c r="AV165" s="35">
        <f>AW165+AX165</f>
        <v>0</v>
      </c>
      <c r="AW165" s="35">
        <f>F165*AO165</f>
        <v>0</v>
      </c>
      <c r="AX165" s="35">
        <f>F165*AP165</f>
        <v>0</v>
      </c>
      <c r="AY165" s="36" t="s">
        <v>650</v>
      </c>
      <c r="AZ165" s="36" t="s">
        <v>675</v>
      </c>
      <c r="BA165" s="27" t="s">
        <v>681</v>
      </c>
      <c r="BC165" s="35">
        <f>AW165+AX165</f>
        <v>0</v>
      </c>
      <c r="BD165" s="35">
        <f>G165/(100-BE165)*100</f>
        <v>0</v>
      </c>
      <c r="BE165" s="35">
        <v>0</v>
      </c>
      <c r="BF165" s="35">
        <f>M165</f>
        <v>3.0000000000000003E-4</v>
      </c>
      <c r="BH165" s="20">
        <f>F165*AO165</f>
        <v>0</v>
      </c>
      <c r="BI165" s="20">
        <f>F165*AP165</f>
        <v>0</v>
      </c>
      <c r="BJ165" s="20">
        <f>F165*G165</f>
        <v>0</v>
      </c>
    </row>
    <row r="166" spans="1:62" x14ac:dyDescent="0.25">
      <c r="D166" s="17" t="s">
        <v>454</v>
      </c>
    </row>
    <row r="167" spans="1:62" x14ac:dyDescent="0.25">
      <c r="C167" s="14" t="s">
        <v>151</v>
      </c>
      <c r="D167" s="141" t="s">
        <v>455</v>
      </c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</row>
    <row r="168" spans="1:62" x14ac:dyDescent="0.25">
      <c r="A168" s="4" t="s">
        <v>78</v>
      </c>
      <c r="B168" s="4"/>
      <c r="C168" s="4" t="s">
        <v>226</v>
      </c>
      <c r="D168" s="4" t="s">
        <v>457</v>
      </c>
      <c r="E168" s="4" t="s">
        <v>597</v>
      </c>
      <c r="F168" s="20">
        <v>4</v>
      </c>
      <c r="G168" s="88"/>
      <c r="H168" s="20">
        <f>F168*AO168</f>
        <v>0</v>
      </c>
      <c r="I168" s="20">
        <f>F168*AP168</f>
        <v>0</v>
      </c>
      <c r="J168" s="20">
        <f>F168*G168</f>
        <v>0</v>
      </c>
      <c r="K168" s="41">
        <f>IF(J305=0,0,J168/J305)</f>
        <v>0</v>
      </c>
      <c r="L168" s="20">
        <v>0</v>
      </c>
      <c r="M168" s="20">
        <f>F168*L168</f>
        <v>0</v>
      </c>
      <c r="N168" s="31" t="s">
        <v>620</v>
      </c>
      <c r="Z168" s="35">
        <f>IF(AQ168="5",BJ168,0)</f>
        <v>0</v>
      </c>
      <c r="AB168" s="35">
        <f>IF(AQ168="1",BH168,0)</f>
        <v>0</v>
      </c>
      <c r="AC168" s="35">
        <f>IF(AQ168="1",BI168,0)</f>
        <v>0</v>
      </c>
      <c r="AD168" s="35">
        <f>IF(AQ168="7",BH168,0)</f>
        <v>0</v>
      </c>
      <c r="AE168" s="35">
        <f>IF(AQ168="7",BI168,0)</f>
        <v>0</v>
      </c>
      <c r="AF168" s="35">
        <f>IF(AQ168="2",BH168,0)</f>
        <v>0</v>
      </c>
      <c r="AG168" s="35">
        <f>IF(AQ168="2",BI168,0)</f>
        <v>0</v>
      </c>
      <c r="AH168" s="35">
        <f>IF(AQ168="0",BJ168,0)</f>
        <v>0</v>
      </c>
      <c r="AI168" s="27"/>
      <c r="AJ168" s="20">
        <f>IF(AN168=0,J168,0)</f>
        <v>0</v>
      </c>
      <c r="AK168" s="20">
        <f>IF(AN168=15,J168,0)</f>
        <v>0</v>
      </c>
      <c r="AL168" s="20">
        <f>IF(AN168=21,J168,0)</f>
        <v>0</v>
      </c>
      <c r="AN168" s="35">
        <v>21</v>
      </c>
      <c r="AO168" s="35">
        <f>G168*0</f>
        <v>0</v>
      </c>
      <c r="AP168" s="35">
        <f>G168*(1-0)</f>
        <v>0</v>
      </c>
      <c r="AQ168" s="31" t="s">
        <v>13</v>
      </c>
      <c r="AV168" s="35">
        <f>AW168+AX168</f>
        <v>0</v>
      </c>
      <c r="AW168" s="35">
        <f>F168*AO168</f>
        <v>0</v>
      </c>
      <c r="AX168" s="35">
        <f>F168*AP168</f>
        <v>0</v>
      </c>
      <c r="AY168" s="36" t="s">
        <v>650</v>
      </c>
      <c r="AZ168" s="36" t="s">
        <v>675</v>
      </c>
      <c r="BA168" s="27" t="s">
        <v>681</v>
      </c>
      <c r="BC168" s="35">
        <f>AW168+AX168</f>
        <v>0</v>
      </c>
      <c r="BD168" s="35">
        <f>G168/(100-BE168)*100</f>
        <v>0</v>
      </c>
      <c r="BE168" s="35">
        <v>0</v>
      </c>
      <c r="BF168" s="35">
        <f>M168</f>
        <v>0</v>
      </c>
      <c r="BH168" s="20">
        <f>F168*AO168</f>
        <v>0</v>
      </c>
      <c r="BI168" s="20">
        <f>F168*AP168</f>
        <v>0</v>
      </c>
      <c r="BJ168" s="20">
        <f>F168*G168</f>
        <v>0</v>
      </c>
    </row>
    <row r="169" spans="1:62" x14ac:dyDescent="0.25">
      <c r="A169" s="4" t="s">
        <v>79</v>
      </c>
      <c r="B169" s="4"/>
      <c r="C169" s="4" t="s">
        <v>227</v>
      </c>
      <c r="D169" s="4" t="s">
        <v>458</v>
      </c>
      <c r="E169" s="4" t="s">
        <v>597</v>
      </c>
      <c r="F169" s="20">
        <v>2</v>
      </c>
      <c r="G169" s="88"/>
      <c r="H169" s="20">
        <f>F169*AO169</f>
        <v>0</v>
      </c>
      <c r="I169" s="20">
        <f>F169*AP169</f>
        <v>0</v>
      </c>
      <c r="J169" s="20">
        <f>F169*G169</f>
        <v>0</v>
      </c>
      <c r="K169" s="41">
        <f>IF(J305=0,0,J169/J305)</f>
        <v>0</v>
      </c>
      <c r="L169" s="20">
        <v>2.0000000000000001E-4</v>
      </c>
      <c r="M169" s="20">
        <f>F169*L169</f>
        <v>4.0000000000000002E-4</v>
      </c>
      <c r="N169" s="31" t="s">
        <v>620</v>
      </c>
      <c r="Z169" s="35">
        <f>IF(AQ169="5",BJ169,0)</f>
        <v>0</v>
      </c>
      <c r="AB169" s="35">
        <f>IF(AQ169="1",BH169,0)</f>
        <v>0</v>
      </c>
      <c r="AC169" s="35">
        <f>IF(AQ169="1",BI169,0)</f>
        <v>0</v>
      </c>
      <c r="AD169" s="35">
        <f>IF(AQ169="7",BH169,0)</f>
        <v>0</v>
      </c>
      <c r="AE169" s="35">
        <f>IF(AQ169="7",BI169,0)</f>
        <v>0</v>
      </c>
      <c r="AF169" s="35">
        <f>IF(AQ169="2",BH169,0)</f>
        <v>0</v>
      </c>
      <c r="AG169" s="35">
        <f>IF(AQ169="2",BI169,0)</f>
        <v>0</v>
      </c>
      <c r="AH169" s="35">
        <f>IF(AQ169="0",BJ169,0)</f>
        <v>0</v>
      </c>
      <c r="AI169" s="27"/>
      <c r="AJ169" s="20">
        <f>IF(AN169=0,J169,0)</f>
        <v>0</v>
      </c>
      <c r="AK169" s="20">
        <f>IF(AN169=15,J169,0)</f>
        <v>0</v>
      </c>
      <c r="AL169" s="20">
        <f>IF(AN169=21,J169,0)</f>
        <v>0</v>
      </c>
      <c r="AN169" s="35">
        <v>21</v>
      </c>
      <c r="AO169" s="35">
        <f>G169*0.636082592267471</f>
        <v>0</v>
      </c>
      <c r="AP169" s="35">
        <f>G169*(1-0.636082592267471)</f>
        <v>0</v>
      </c>
      <c r="AQ169" s="31" t="s">
        <v>13</v>
      </c>
      <c r="AV169" s="35">
        <f>AW169+AX169</f>
        <v>0</v>
      </c>
      <c r="AW169" s="35">
        <f>F169*AO169</f>
        <v>0</v>
      </c>
      <c r="AX169" s="35">
        <f>F169*AP169</f>
        <v>0</v>
      </c>
      <c r="AY169" s="36" t="s">
        <v>650</v>
      </c>
      <c r="AZ169" s="36" t="s">
        <v>675</v>
      </c>
      <c r="BA169" s="27" t="s">
        <v>681</v>
      </c>
      <c r="BC169" s="35">
        <f>AW169+AX169</f>
        <v>0</v>
      </c>
      <c r="BD169" s="35">
        <f>G169/(100-BE169)*100</f>
        <v>0</v>
      </c>
      <c r="BE169" s="35">
        <v>0</v>
      </c>
      <c r="BF169" s="35">
        <f>M169</f>
        <v>4.0000000000000002E-4</v>
      </c>
      <c r="BH169" s="20">
        <f>F169*AO169</f>
        <v>0</v>
      </c>
      <c r="BI169" s="20">
        <f>F169*AP169</f>
        <v>0</v>
      </c>
      <c r="BJ169" s="20">
        <f>F169*G169</f>
        <v>0</v>
      </c>
    </row>
    <row r="170" spans="1:62" x14ac:dyDescent="0.25">
      <c r="A170" s="4" t="s">
        <v>80</v>
      </c>
      <c r="B170" s="4"/>
      <c r="C170" s="4" t="s">
        <v>228</v>
      </c>
      <c r="D170" s="4" t="s">
        <v>459</v>
      </c>
      <c r="E170" s="4" t="s">
        <v>594</v>
      </c>
      <c r="F170" s="20">
        <v>20</v>
      </c>
      <c r="G170" s="88"/>
      <c r="H170" s="20">
        <f>F170*AO170</f>
        <v>0</v>
      </c>
      <c r="I170" s="20">
        <f>F170*AP170</f>
        <v>0</v>
      </c>
      <c r="J170" s="20">
        <f>F170*G170</f>
        <v>0</v>
      </c>
      <c r="K170" s="41">
        <f>IF(J305=0,0,J170/J305)</f>
        <v>0</v>
      </c>
      <c r="L170" s="20">
        <v>1.8000000000000001E-4</v>
      </c>
      <c r="M170" s="20">
        <f>F170*L170</f>
        <v>3.6000000000000003E-3</v>
      </c>
      <c r="N170" s="31" t="s">
        <v>620</v>
      </c>
      <c r="Z170" s="35">
        <f>IF(AQ170="5",BJ170,0)</f>
        <v>0</v>
      </c>
      <c r="AB170" s="35">
        <f>IF(AQ170="1",BH170,0)</f>
        <v>0</v>
      </c>
      <c r="AC170" s="35">
        <f>IF(AQ170="1",BI170,0)</f>
        <v>0</v>
      </c>
      <c r="AD170" s="35">
        <f>IF(AQ170="7",BH170,0)</f>
        <v>0</v>
      </c>
      <c r="AE170" s="35">
        <f>IF(AQ170="7",BI170,0)</f>
        <v>0</v>
      </c>
      <c r="AF170" s="35">
        <f>IF(AQ170="2",BH170,0)</f>
        <v>0</v>
      </c>
      <c r="AG170" s="35">
        <f>IF(AQ170="2",BI170,0)</f>
        <v>0</v>
      </c>
      <c r="AH170" s="35">
        <f>IF(AQ170="0",BJ170,0)</f>
        <v>0</v>
      </c>
      <c r="AI170" s="27"/>
      <c r="AJ170" s="20">
        <f>IF(AN170=0,J170,0)</f>
        <v>0</v>
      </c>
      <c r="AK170" s="20">
        <f>IF(AN170=15,J170,0)</f>
        <v>0</v>
      </c>
      <c r="AL170" s="20">
        <f>IF(AN170=21,J170,0)</f>
        <v>0</v>
      </c>
      <c r="AN170" s="35">
        <v>21</v>
      </c>
      <c r="AO170" s="35">
        <f>G170*0.185121951219512</f>
        <v>0</v>
      </c>
      <c r="AP170" s="35">
        <f>G170*(1-0.185121951219512)</f>
        <v>0</v>
      </c>
      <c r="AQ170" s="31" t="s">
        <v>13</v>
      </c>
      <c r="AV170" s="35">
        <f>AW170+AX170</f>
        <v>0</v>
      </c>
      <c r="AW170" s="35">
        <f>F170*AO170</f>
        <v>0</v>
      </c>
      <c r="AX170" s="35">
        <f>F170*AP170</f>
        <v>0</v>
      </c>
      <c r="AY170" s="36" t="s">
        <v>650</v>
      </c>
      <c r="AZ170" s="36" t="s">
        <v>675</v>
      </c>
      <c r="BA170" s="27" t="s">
        <v>681</v>
      </c>
      <c r="BC170" s="35">
        <f>AW170+AX170</f>
        <v>0</v>
      </c>
      <c r="BD170" s="35">
        <f>G170/(100-BE170)*100</f>
        <v>0</v>
      </c>
      <c r="BE170" s="35">
        <v>0</v>
      </c>
      <c r="BF170" s="35">
        <f>M170</f>
        <v>3.6000000000000003E-3</v>
      </c>
      <c r="BH170" s="20">
        <f>F170*AO170</f>
        <v>0</v>
      </c>
      <c r="BI170" s="20">
        <f>F170*AP170</f>
        <v>0</v>
      </c>
      <c r="BJ170" s="20">
        <f>F170*G170</f>
        <v>0</v>
      </c>
    </row>
    <row r="171" spans="1:62" x14ac:dyDescent="0.25">
      <c r="A171" s="4" t="s">
        <v>81</v>
      </c>
      <c r="B171" s="4"/>
      <c r="C171" s="4" t="s">
        <v>229</v>
      </c>
      <c r="D171" s="4" t="s">
        <v>460</v>
      </c>
      <c r="E171" s="4" t="s">
        <v>594</v>
      </c>
      <c r="F171" s="20">
        <v>20</v>
      </c>
      <c r="G171" s="88"/>
      <c r="H171" s="20">
        <f>F171*AO171</f>
        <v>0</v>
      </c>
      <c r="I171" s="20">
        <f>F171*AP171</f>
        <v>0</v>
      </c>
      <c r="J171" s="20">
        <f>F171*G171</f>
        <v>0</v>
      </c>
      <c r="K171" s="41">
        <f>IF(J305=0,0,J171/J305)</f>
        <v>0</v>
      </c>
      <c r="L171" s="20">
        <v>1.0000000000000001E-5</v>
      </c>
      <c r="M171" s="20">
        <f>F171*L171</f>
        <v>2.0000000000000001E-4</v>
      </c>
      <c r="N171" s="31" t="s">
        <v>620</v>
      </c>
      <c r="Z171" s="35">
        <f>IF(AQ171="5",BJ171,0)</f>
        <v>0</v>
      </c>
      <c r="AB171" s="35">
        <f>IF(AQ171="1",BH171,0)</f>
        <v>0</v>
      </c>
      <c r="AC171" s="35">
        <f>IF(AQ171="1",BI171,0)</f>
        <v>0</v>
      </c>
      <c r="AD171" s="35">
        <f>IF(AQ171="7",BH171,0)</f>
        <v>0</v>
      </c>
      <c r="AE171" s="35">
        <f>IF(AQ171="7",BI171,0)</f>
        <v>0</v>
      </c>
      <c r="AF171" s="35">
        <f>IF(AQ171="2",BH171,0)</f>
        <v>0</v>
      </c>
      <c r="AG171" s="35">
        <f>IF(AQ171="2",BI171,0)</f>
        <v>0</v>
      </c>
      <c r="AH171" s="35">
        <f>IF(AQ171="0",BJ171,0)</f>
        <v>0</v>
      </c>
      <c r="AI171" s="27"/>
      <c r="AJ171" s="20">
        <f>IF(AN171=0,J171,0)</f>
        <v>0</v>
      </c>
      <c r="AK171" s="20">
        <f>IF(AN171=15,J171,0)</f>
        <v>0</v>
      </c>
      <c r="AL171" s="20">
        <f>IF(AN171=21,J171,0)</f>
        <v>0</v>
      </c>
      <c r="AN171" s="35">
        <v>21</v>
      </c>
      <c r="AO171" s="35">
        <f>G171*0.0504983388704319</f>
        <v>0</v>
      </c>
      <c r="AP171" s="35">
        <f>G171*(1-0.0504983388704319)</f>
        <v>0</v>
      </c>
      <c r="AQ171" s="31" t="s">
        <v>13</v>
      </c>
      <c r="AV171" s="35">
        <f>AW171+AX171</f>
        <v>0</v>
      </c>
      <c r="AW171" s="35">
        <f>F171*AO171</f>
        <v>0</v>
      </c>
      <c r="AX171" s="35">
        <f>F171*AP171</f>
        <v>0</v>
      </c>
      <c r="AY171" s="36" t="s">
        <v>650</v>
      </c>
      <c r="AZ171" s="36" t="s">
        <v>675</v>
      </c>
      <c r="BA171" s="27" t="s">
        <v>681</v>
      </c>
      <c r="BC171" s="35">
        <f>AW171+AX171</f>
        <v>0</v>
      </c>
      <c r="BD171" s="35">
        <f>G171/(100-BE171)*100</f>
        <v>0</v>
      </c>
      <c r="BE171" s="35">
        <v>0</v>
      </c>
      <c r="BF171" s="35">
        <f>M171</f>
        <v>2.0000000000000001E-4</v>
      </c>
      <c r="BH171" s="20">
        <f>F171*AO171</f>
        <v>0</v>
      </c>
      <c r="BI171" s="20">
        <f>F171*AP171</f>
        <v>0</v>
      </c>
      <c r="BJ171" s="20">
        <f>F171*G171</f>
        <v>0</v>
      </c>
    </row>
    <row r="172" spans="1:62" x14ac:dyDescent="0.25">
      <c r="A172" s="4" t="s">
        <v>82</v>
      </c>
      <c r="B172" s="4"/>
      <c r="C172" s="4" t="s">
        <v>230</v>
      </c>
      <c r="D172" s="4" t="s">
        <v>461</v>
      </c>
      <c r="E172" s="4" t="s">
        <v>597</v>
      </c>
      <c r="F172" s="20">
        <v>1</v>
      </c>
      <c r="G172" s="88"/>
      <c r="H172" s="20">
        <f>F172*AO172</f>
        <v>0</v>
      </c>
      <c r="I172" s="20">
        <f>F172*AP172</f>
        <v>0</v>
      </c>
      <c r="J172" s="20">
        <f>F172*G172</f>
        <v>0</v>
      </c>
      <c r="K172" s="41">
        <f>IF(J305=0,0,J172/J305)</f>
        <v>0</v>
      </c>
      <c r="L172" s="20">
        <v>1.4999999999999999E-2</v>
      </c>
      <c r="M172" s="20">
        <f>F172*L172</f>
        <v>1.4999999999999999E-2</v>
      </c>
      <c r="N172" s="31" t="s">
        <v>620</v>
      </c>
      <c r="Z172" s="35">
        <f>IF(AQ172="5",BJ172,0)</f>
        <v>0</v>
      </c>
      <c r="AB172" s="35">
        <f>IF(AQ172="1",BH172,0)</f>
        <v>0</v>
      </c>
      <c r="AC172" s="35">
        <f>IF(AQ172="1",BI172,0)</f>
        <v>0</v>
      </c>
      <c r="AD172" s="35">
        <f>IF(AQ172="7",BH172,0)</f>
        <v>0</v>
      </c>
      <c r="AE172" s="35">
        <f>IF(AQ172="7",BI172,0)</f>
        <v>0</v>
      </c>
      <c r="AF172" s="35">
        <f>IF(AQ172="2",BH172,0)</f>
        <v>0</v>
      </c>
      <c r="AG172" s="35">
        <f>IF(AQ172="2",BI172,0)</f>
        <v>0</v>
      </c>
      <c r="AH172" s="35">
        <f>IF(AQ172="0",BJ172,0)</f>
        <v>0</v>
      </c>
      <c r="AI172" s="27"/>
      <c r="AJ172" s="20">
        <f>IF(AN172=0,J172,0)</f>
        <v>0</v>
      </c>
      <c r="AK172" s="20">
        <f>IF(AN172=15,J172,0)</f>
        <v>0</v>
      </c>
      <c r="AL172" s="20">
        <f>IF(AN172=21,J172,0)</f>
        <v>0</v>
      </c>
      <c r="AN172" s="35">
        <v>21</v>
      </c>
      <c r="AO172" s="35">
        <f>G172*0.92776397768906</f>
        <v>0</v>
      </c>
      <c r="AP172" s="35">
        <f>G172*(1-0.92776397768906)</f>
        <v>0</v>
      </c>
      <c r="AQ172" s="31" t="s">
        <v>13</v>
      </c>
      <c r="AV172" s="35">
        <f>AW172+AX172</f>
        <v>0</v>
      </c>
      <c r="AW172" s="35">
        <f>F172*AO172</f>
        <v>0</v>
      </c>
      <c r="AX172" s="35">
        <f>F172*AP172</f>
        <v>0</v>
      </c>
      <c r="AY172" s="36" t="s">
        <v>650</v>
      </c>
      <c r="AZ172" s="36" t="s">
        <v>675</v>
      </c>
      <c r="BA172" s="27" t="s">
        <v>681</v>
      </c>
      <c r="BC172" s="35">
        <f>AW172+AX172</f>
        <v>0</v>
      </c>
      <c r="BD172" s="35">
        <f>G172/(100-BE172)*100</f>
        <v>0</v>
      </c>
      <c r="BE172" s="35">
        <v>0</v>
      </c>
      <c r="BF172" s="35">
        <f>M172</f>
        <v>1.4999999999999999E-2</v>
      </c>
      <c r="BH172" s="20">
        <f>F172*AO172</f>
        <v>0</v>
      </c>
      <c r="BI172" s="20">
        <f>F172*AP172</f>
        <v>0</v>
      </c>
      <c r="BJ172" s="20">
        <f>F172*G172</f>
        <v>0</v>
      </c>
    </row>
    <row r="173" spans="1:62" x14ac:dyDescent="0.25">
      <c r="D173" s="17" t="s">
        <v>462</v>
      </c>
    </row>
    <row r="174" spans="1:62" x14ac:dyDescent="0.25">
      <c r="C174" s="14" t="s">
        <v>151</v>
      </c>
      <c r="D174" s="141" t="s">
        <v>463</v>
      </c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</row>
    <row r="175" spans="1:62" x14ac:dyDescent="0.25">
      <c r="A175" s="5"/>
      <c r="B175" s="13"/>
      <c r="C175" s="13" t="s">
        <v>231</v>
      </c>
      <c r="D175" s="13" t="s">
        <v>464</v>
      </c>
      <c r="E175" s="5" t="s">
        <v>6</v>
      </c>
      <c r="F175" s="5" t="s">
        <v>6</v>
      </c>
      <c r="G175" s="90" t="s">
        <v>6</v>
      </c>
      <c r="H175" s="38">
        <f>SUM(H176:H181)</f>
        <v>0</v>
      </c>
      <c r="I175" s="38">
        <f>SUM(I176:I181)</f>
        <v>0</v>
      </c>
      <c r="J175" s="38">
        <f>SUM(J176:J181)</f>
        <v>0</v>
      </c>
      <c r="K175" s="42">
        <f>IF(J305=0,0,J175/J305)</f>
        <v>0</v>
      </c>
      <c r="L175" s="27"/>
      <c r="M175" s="38">
        <f>SUM(M176:M181)</f>
        <v>9.6379999999999993E-2</v>
      </c>
      <c r="N175" s="27"/>
      <c r="AI175" s="27"/>
      <c r="AS175" s="38">
        <f>SUM(AJ176:AJ181)</f>
        <v>0</v>
      </c>
      <c r="AT175" s="38">
        <f>SUM(AK176:AK181)</f>
        <v>0</v>
      </c>
      <c r="AU175" s="38">
        <f>SUM(AL176:AL181)</f>
        <v>0</v>
      </c>
    </row>
    <row r="176" spans="1:62" x14ac:dyDescent="0.25">
      <c r="A176" s="4" t="s">
        <v>83</v>
      </c>
      <c r="B176" s="4"/>
      <c r="C176" s="4" t="s">
        <v>232</v>
      </c>
      <c r="D176" s="4" t="s">
        <v>465</v>
      </c>
      <c r="E176" s="4" t="s">
        <v>598</v>
      </c>
      <c r="F176" s="20">
        <v>4</v>
      </c>
      <c r="G176" s="88"/>
      <c r="H176" s="20">
        <f>F176*AO176</f>
        <v>0</v>
      </c>
      <c r="I176" s="20">
        <f>F176*AP176</f>
        <v>0</v>
      </c>
      <c r="J176" s="20">
        <f>F176*G176</f>
        <v>0</v>
      </c>
      <c r="K176" s="41">
        <f>IF(J305=0,0,J176/J305)</f>
        <v>0</v>
      </c>
      <c r="L176" s="20">
        <v>1.521E-2</v>
      </c>
      <c r="M176" s="20">
        <f>F176*L176</f>
        <v>6.0839999999999998E-2</v>
      </c>
      <c r="N176" s="31" t="s">
        <v>620</v>
      </c>
      <c r="Z176" s="35">
        <f>IF(AQ176="5",BJ176,0)</f>
        <v>0</v>
      </c>
      <c r="AB176" s="35">
        <f>IF(AQ176="1",BH176,0)</f>
        <v>0</v>
      </c>
      <c r="AC176" s="35">
        <f>IF(AQ176="1",BI176,0)</f>
        <v>0</v>
      </c>
      <c r="AD176" s="35">
        <f>IF(AQ176="7",BH176,0)</f>
        <v>0</v>
      </c>
      <c r="AE176" s="35">
        <f>IF(AQ176="7",BI176,0)</f>
        <v>0</v>
      </c>
      <c r="AF176" s="35">
        <f>IF(AQ176="2",BH176,0)</f>
        <v>0</v>
      </c>
      <c r="AG176" s="35">
        <f>IF(AQ176="2",BI176,0)</f>
        <v>0</v>
      </c>
      <c r="AH176" s="35">
        <f>IF(AQ176="0",BJ176,0)</f>
        <v>0</v>
      </c>
      <c r="AI176" s="27"/>
      <c r="AJ176" s="20">
        <f>IF(AN176=0,J176,0)</f>
        <v>0</v>
      </c>
      <c r="AK176" s="20">
        <f>IF(AN176=15,J176,0)</f>
        <v>0</v>
      </c>
      <c r="AL176" s="20">
        <f>IF(AN176=21,J176,0)</f>
        <v>0</v>
      </c>
      <c r="AN176" s="35">
        <v>21</v>
      </c>
      <c r="AO176" s="35">
        <f>G176*0.774930581613508</f>
        <v>0</v>
      </c>
      <c r="AP176" s="35">
        <f>G176*(1-0.774930581613508)</f>
        <v>0</v>
      </c>
      <c r="AQ176" s="31" t="s">
        <v>13</v>
      </c>
      <c r="AV176" s="35">
        <f>AW176+AX176</f>
        <v>0</v>
      </c>
      <c r="AW176" s="35">
        <f>F176*AO176</f>
        <v>0</v>
      </c>
      <c r="AX176" s="35">
        <f>F176*AP176</f>
        <v>0</v>
      </c>
      <c r="AY176" s="36" t="s">
        <v>651</v>
      </c>
      <c r="AZ176" s="36" t="s">
        <v>675</v>
      </c>
      <c r="BA176" s="27" t="s">
        <v>681</v>
      </c>
      <c r="BC176" s="35">
        <f>AW176+AX176</f>
        <v>0</v>
      </c>
      <c r="BD176" s="35">
        <f>G176/(100-BE176)*100</f>
        <v>0</v>
      </c>
      <c r="BE176" s="35">
        <v>0</v>
      </c>
      <c r="BF176" s="35">
        <f>M176</f>
        <v>6.0839999999999998E-2</v>
      </c>
      <c r="BH176" s="20">
        <f>F176*AO176</f>
        <v>0</v>
      </c>
      <c r="BI176" s="20">
        <f>F176*AP176</f>
        <v>0</v>
      </c>
      <c r="BJ176" s="20">
        <f>F176*G176</f>
        <v>0</v>
      </c>
    </row>
    <row r="177" spans="1:62" x14ac:dyDescent="0.25">
      <c r="D177" s="17" t="s">
        <v>466</v>
      </c>
    </row>
    <row r="178" spans="1:62" x14ac:dyDescent="0.25">
      <c r="A178" s="4" t="s">
        <v>84</v>
      </c>
      <c r="B178" s="4"/>
      <c r="C178" s="4" t="s">
        <v>233</v>
      </c>
      <c r="D178" s="4" t="s">
        <v>467</v>
      </c>
      <c r="E178" s="4" t="s">
        <v>598</v>
      </c>
      <c r="F178" s="20">
        <v>8</v>
      </c>
      <c r="G178" s="88"/>
      <c r="H178" s="20">
        <f>F178*AO178</f>
        <v>0</v>
      </c>
      <c r="I178" s="20">
        <f>F178*AP178</f>
        <v>0</v>
      </c>
      <c r="J178" s="20">
        <f>F178*G178</f>
        <v>0</v>
      </c>
      <c r="K178" s="41">
        <f>IF(J305=0,0,J178/J305)</f>
        <v>0</v>
      </c>
      <c r="L178" s="20">
        <v>2.4000000000000001E-4</v>
      </c>
      <c r="M178" s="20">
        <f>F178*L178</f>
        <v>1.92E-3</v>
      </c>
      <c r="N178" s="31" t="s">
        <v>620</v>
      </c>
      <c r="Z178" s="35">
        <f>IF(AQ178="5",BJ178,0)</f>
        <v>0</v>
      </c>
      <c r="AB178" s="35">
        <f>IF(AQ178="1",BH178,0)</f>
        <v>0</v>
      </c>
      <c r="AC178" s="35">
        <f>IF(AQ178="1",BI178,0)</f>
        <v>0</v>
      </c>
      <c r="AD178" s="35">
        <f>IF(AQ178="7",BH178,0)</f>
        <v>0</v>
      </c>
      <c r="AE178" s="35">
        <f>IF(AQ178="7",BI178,0)</f>
        <v>0</v>
      </c>
      <c r="AF178" s="35">
        <f>IF(AQ178="2",BH178,0)</f>
        <v>0</v>
      </c>
      <c r="AG178" s="35">
        <f>IF(AQ178="2",BI178,0)</f>
        <v>0</v>
      </c>
      <c r="AH178" s="35">
        <f>IF(AQ178="0",BJ178,0)</f>
        <v>0</v>
      </c>
      <c r="AI178" s="27"/>
      <c r="AJ178" s="20">
        <f>IF(AN178=0,J178,0)</f>
        <v>0</v>
      </c>
      <c r="AK178" s="20">
        <f>IF(AN178=15,J178,0)</f>
        <v>0</v>
      </c>
      <c r="AL178" s="20">
        <f>IF(AN178=21,J178,0)</f>
        <v>0</v>
      </c>
      <c r="AN178" s="35">
        <v>21</v>
      </c>
      <c r="AO178" s="35">
        <f>G178*0.802387543252595</f>
        <v>0</v>
      </c>
      <c r="AP178" s="35">
        <f>G178*(1-0.802387543252595)</f>
        <v>0</v>
      </c>
      <c r="AQ178" s="31" t="s">
        <v>13</v>
      </c>
      <c r="AV178" s="35">
        <f>AW178+AX178</f>
        <v>0</v>
      </c>
      <c r="AW178" s="35">
        <f>F178*AO178</f>
        <v>0</v>
      </c>
      <c r="AX178" s="35">
        <f>F178*AP178</f>
        <v>0</v>
      </c>
      <c r="AY178" s="36" t="s">
        <v>651</v>
      </c>
      <c r="AZ178" s="36" t="s">
        <v>675</v>
      </c>
      <c r="BA178" s="27" t="s">
        <v>681</v>
      </c>
      <c r="BC178" s="35">
        <f>AW178+AX178</f>
        <v>0</v>
      </c>
      <c r="BD178" s="35">
        <f>G178/(100-BE178)*100</f>
        <v>0</v>
      </c>
      <c r="BE178" s="35">
        <v>0</v>
      </c>
      <c r="BF178" s="35">
        <f>M178</f>
        <v>1.92E-3</v>
      </c>
      <c r="BH178" s="20">
        <f>F178*AO178</f>
        <v>0</v>
      </c>
      <c r="BI178" s="20">
        <f>F178*AP178</f>
        <v>0</v>
      </c>
      <c r="BJ178" s="20">
        <f>F178*G178</f>
        <v>0</v>
      </c>
    </row>
    <row r="179" spans="1:62" x14ac:dyDescent="0.25">
      <c r="A179" s="4" t="s">
        <v>85</v>
      </c>
      <c r="B179" s="4"/>
      <c r="C179" s="4" t="s">
        <v>234</v>
      </c>
      <c r="D179" s="4" t="s">
        <v>468</v>
      </c>
      <c r="E179" s="4" t="s">
        <v>597</v>
      </c>
      <c r="F179" s="20">
        <v>4</v>
      </c>
      <c r="G179" s="88"/>
      <c r="H179" s="20">
        <f>F179*AO179</f>
        <v>0</v>
      </c>
      <c r="I179" s="20">
        <f>F179*AP179</f>
        <v>0</v>
      </c>
      <c r="J179" s="20">
        <f>F179*G179</f>
        <v>0</v>
      </c>
      <c r="K179" s="41">
        <f>IF(J305=0,0,J179/J305)</f>
        <v>0</v>
      </c>
      <c r="L179" s="20">
        <v>1.2999999999999999E-3</v>
      </c>
      <c r="M179" s="20">
        <f>F179*L179</f>
        <v>5.1999999999999998E-3</v>
      </c>
      <c r="N179" s="31" t="s">
        <v>620</v>
      </c>
      <c r="Z179" s="35">
        <f>IF(AQ179="5",BJ179,0)</f>
        <v>0</v>
      </c>
      <c r="AB179" s="35">
        <f>IF(AQ179="1",BH179,0)</f>
        <v>0</v>
      </c>
      <c r="AC179" s="35">
        <f>IF(AQ179="1",BI179,0)</f>
        <v>0</v>
      </c>
      <c r="AD179" s="35">
        <f>IF(AQ179="7",BH179,0)</f>
        <v>0</v>
      </c>
      <c r="AE179" s="35">
        <f>IF(AQ179="7",BI179,0)</f>
        <v>0</v>
      </c>
      <c r="AF179" s="35">
        <f>IF(AQ179="2",BH179,0)</f>
        <v>0</v>
      </c>
      <c r="AG179" s="35">
        <f>IF(AQ179="2",BI179,0)</f>
        <v>0</v>
      </c>
      <c r="AH179" s="35">
        <f>IF(AQ179="0",BJ179,0)</f>
        <v>0</v>
      </c>
      <c r="AI179" s="27"/>
      <c r="AJ179" s="20">
        <f>IF(AN179=0,J179,0)</f>
        <v>0</v>
      </c>
      <c r="AK179" s="20">
        <f>IF(AN179=15,J179,0)</f>
        <v>0</v>
      </c>
      <c r="AL179" s="20">
        <f>IF(AN179=21,J179,0)</f>
        <v>0</v>
      </c>
      <c r="AN179" s="35">
        <v>21</v>
      </c>
      <c r="AO179" s="35">
        <f>G179*0.802484526967286</f>
        <v>0</v>
      </c>
      <c r="AP179" s="35">
        <f>G179*(1-0.802484526967286)</f>
        <v>0</v>
      </c>
      <c r="AQ179" s="31" t="s">
        <v>13</v>
      </c>
      <c r="AV179" s="35">
        <f>AW179+AX179</f>
        <v>0</v>
      </c>
      <c r="AW179" s="35">
        <f>F179*AO179</f>
        <v>0</v>
      </c>
      <c r="AX179" s="35">
        <f>F179*AP179</f>
        <v>0</v>
      </c>
      <c r="AY179" s="36" t="s">
        <v>651</v>
      </c>
      <c r="AZ179" s="36" t="s">
        <v>675</v>
      </c>
      <c r="BA179" s="27" t="s">
        <v>681</v>
      </c>
      <c r="BC179" s="35">
        <f>AW179+AX179</f>
        <v>0</v>
      </c>
      <c r="BD179" s="35">
        <f>G179/(100-BE179)*100</f>
        <v>0</v>
      </c>
      <c r="BE179" s="35">
        <v>0</v>
      </c>
      <c r="BF179" s="35">
        <f>M179</f>
        <v>5.1999999999999998E-3</v>
      </c>
      <c r="BH179" s="20">
        <f>F179*AO179</f>
        <v>0</v>
      </c>
      <c r="BI179" s="20">
        <f>F179*AP179</f>
        <v>0</v>
      </c>
      <c r="BJ179" s="20">
        <f>F179*G179</f>
        <v>0</v>
      </c>
    </row>
    <row r="180" spans="1:62" x14ac:dyDescent="0.25">
      <c r="D180" s="17" t="s">
        <v>469</v>
      </c>
    </row>
    <row r="181" spans="1:62" x14ac:dyDescent="0.25">
      <c r="A181" s="4" t="s">
        <v>86</v>
      </c>
      <c r="B181" s="4"/>
      <c r="C181" s="4" t="s">
        <v>235</v>
      </c>
      <c r="D181" s="4" t="s">
        <v>470</v>
      </c>
      <c r="E181" s="4" t="s">
        <v>598</v>
      </c>
      <c r="F181" s="20">
        <v>2</v>
      </c>
      <c r="G181" s="88"/>
      <c r="H181" s="20">
        <f>F181*AO181</f>
        <v>0</v>
      </c>
      <c r="I181" s="20">
        <f>F181*AP181</f>
        <v>0</v>
      </c>
      <c r="J181" s="20">
        <f>F181*G181</f>
        <v>0</v>
      </c>
      <c r="K181" s="41">
        <f>IF(J305=0,0,J181/J305)</f>
        <v>0</v>
      </c>
      <c r="L181" s="20">
        <v>1.421E-2</v>
      </c>
      <c r="M181" s="20">
        <f>F181*L181</f>
        <v>2.8420000000000001E-2</v>
      </c>
      <c r="N181" s="31" t="s">
        <v>620</v>
      </c>
      <c r="Z181" s="35">
        <f>IF(AQ181="5",BJ181,0)</f>
        <v>0</v>
      </c>
      <c r="AB181" s="35">
        <f>IF(AQ181="1",BH181,0)</f>
        <v>0</v>
      </c>
      <c r="AC181" s="35">
        <f>IF(AQ181="1",BI181,0)</f>
        <v>0</v>
      </c>
      <c r="AD181" s="35">
        <f>IF(AQ181="7",BH181,0)</f>
        <v>0</v>
      </c>
      <c r="AE181" s="35">
        <f>IF(AQ181="7",BI181,0)</f>
        <v>0</v>
      </c>
      <c r="AF181" s="35">
        <f>IF(AQ181="2",BH181,0)</f>
        <v>0</v>
      </c>
      <c r="AG181" s="35">
        <f>IF(AQ181="2",BI181,0)</f>
        <v>0</v>
      </c>
      <c r="AH181" s="35">
        <f>IF(AQ181="0",BJ181,0)</f>
        <v>0</v>
      </c>
      <c r="AI181" s="27"/>
      <c r="AJ181" s="20">
        <f>IF(AN181=0,J181,0)</f>
        <v>0</v>
      </c>
      <c r="AK181" s="20">
        <f>IF(AN181=15,J181,0)</f>
        <v>0</v>
      </c>
      <c r="AL181" s="20">
        <f>IF(AN181=21,J181,0)</f>
        <v>0</v>
      </c>
      <c r="AN181" s="35">
        <v>21</v>
      </c>
      <c r="AO181" s="35">
        <f>G181*0</f>
        <v>0</v>
      </c>
      <c r="AP181" s="35">
        <f>G181*(1-0)</f>
        <v>0</v>
      </c>
      <c r="AQ181" s="31" t="s">
        <v>13</v>
      </c>
      <c r="AV181" s="35">
        <f>AW181+AX181</f>
        <v>0</v>
      </c>
      <c r="AW181" s="35">
        <f>F181*AO181</f>
        <v>0</v>
      </c>
      <c r="AX181" s="35">
        <f>F181*AP181</f>
        <v>0</v>
      </c>
      <c r="AY181" s="36" t="s">
        <v>651</v>
      </c>
      <c r="AZ181" s="36" t="s">
        <v>675</v>
      </c>
      <c r="BA181" s="27" t="s">
        <v>681</v>
      </c>
      <c r="BC181" s="35">
        <f>AW181+AX181</f>
        <v>0</v>
      </c>
      <c r="BD181" s="35">
        <f>G181/(100-BE181)*100</f>
        <v>0</v>
      </c>
      <c r="BE181" s="35">
        <v>0</v>
      </c>
      <c r="BF181" s="35">
        <f>M181</f>
        <v>2.8420000000000001E-2</v>
      </c>
      <c r="BH181" s="20">
        <f>F181*AO181</f>
        <v>0</v>
      </c>
      <c r="BI181" s="20">
        <f>F181*AP181</f>
        <v>0</v>
      </c>
      <c r="BJ181" s="20">
        <f>F181*G181</f>
        <v>0</v>
      </c>
    </row>
    <row r="182" spans="1:62" x14ac:dyDescent="0.25">
      <c r="A182" s="5"/>
      <c r="B182" s="13"/>
      <c r="C182" s="13" t="s">
        <v>236</v>
      </c>
      <c r="D182" s="13" t="s">
        <v>471</v>
      </c>
      <c r="E182" s="5" t="s">
        <v>6</v>
      </c>
      <c r="F182" s="5" t="s">
        <v>6</v>
      </c>
      <c r="G182" s="90"/>
      <c r="H182" s="38">
        <f>SUM(H183:H183)</f>
        <v>0</v>
      </c>
      <c r="I182" s="38">
        <f>SUM(I183:I183)</f>
        <v>0</v>
      </c>
      <c r="J182" s="38">
        <f>SUM(J183:J183)</f>
        <v>0</v>
      </c>
      <c r="K182" s="42">
        <f>IF(J305=0,0,J182/J305)</f>
        <v>0</v>
      </c>
      <c r="L182" s="27"/>
      <c r="M182" s="38">
        <f>SUM(M183:M183)</f>
        <v>1.2474000000000001</v>
      </c>
      <c r="N182" s="27"/>
      <c r="AI182" s="27"/>
      <c r="AS182" s="38">
        <f>SUM(AJ183:AJ183)</f>
        <v>0</v>
      </c>
      <c r="AT182" s="38">
        <f>SUM(AK183:AK183)</f>
        <v>0</v>
      </c>
      <c r="AU182" s="38">
        <f>SUM(AL183:AL183)</f>
        <v>0</v>
      </c>
    </row>
    <row r="183" spans="1:62" x14ac:dyDescent="0.25">
      <c r="A183" s="4" t="s">
        <v>87</v>
      </c>
      <c r="B183" s="4"/>
      <c r="C183" s="4" t="s">
        <v>237</v>
      </c>
      <c r="D183" s="4" t="s">
        <v>472</v>
      </c>
      <c r="E183" s="4" t="s">
        <v>591</v>
      </c>
      <c r="F183" s="20">
        <v>42</v>
      </c>
      <c r="G183" s="88"/>
      <c r="H183" s="20">
        <f>F183*AO183</f>
        <v>0</v>
      </c>
      <c r="I183" s="20">
        <f>F183*AP183</f>
        <v>0</v>
      </c>
      <c r="J183" s="20">
        <f>F183*G183</f>
        <v>0</v>
      </c>
      <c r="K183" s="41">
        <f>IF(J305=0,0,J183/J305)</f>
        <v>0</v>
      </c>
      <c r="L183" s="20">
        <v>2.9700000000000001E-2</v>
      </c>
      <c r="M183" s="20">
        <f>F183*L183</f>
        <v>1.2474000000000001</v>
      </c>
      <c r="N183" s="31" t="s">
        <v>620</v>
      </c>
      <c r="Z183" s="35">
        <f>IF(AQ183="5",BJ183,0)</f>
        <v>0</v>
      </c>
      <c r="AB183" s="35">
        <f>IF(AQ183="1",BH183,0)</f>
        <v>0</v>
      </c>
      <c r="AC183" s="35">
        <f>IF(AQ183="1",BI183,0)</f>
        <v>0</v>
      </c>
      <c r="AD183" s="35">
        <f>IF(AQ183="7",BH183,0)</f>
        <v>0</v>
      </c>
      <c r="AE183" s="35">
        <f>IF(AQ183="7",BI183,0)</f>
        <v>0</v>
      </c>
      <c r="AF183" s="35">
        <f>IF(AQ183="2",BH183,0)</f>
        <v>0</v>
      </c>
      <c r="AG183" s="35">
        <f>IF(AQ183="2",BI183,0)</f>
        <v>0</v>
      </c>
      <c r="AH183" s="35">
        <f>IF(AQ183="0",BJ183,0)</f>
        <v>0</v>
      </c>
      <c r="AI183" s="27"/>
      <c r="AJ183" s="20">
        <f>IF(AN183=0,J183,0)</f>
        <v>0</v>
      </c>
      <c r="AK183" s="20">
        <f>IF(AN183=15,J183,0)</f>
        <v>0</v>
      </c>
      <c r="AL183" s="20">
        <f>IF(AN183=21,J183,0)</f>
        <v>0</v>
      </c>
      <c r="AN183" s="35">
        <v>21</v>
      </c>
      <c r="AO183" s="35">
        <f>G183*0.775036609981662</f>
        <v>0</v>
      </c>
      <c r="AP183" s="35">
        <f>G183*(1-0.775036609981662)</f>
        <v>0</v>
      </c>
      <c r="AQ183" s="31" t="s">
        <v>13</v>
      </c>
      <c r="AV183" s="35">
        <f>AW183+AX183</f>
        <v>0</v>
      </c>
      <c r="AW183" s="35">
        <f>F183*AO183</f>
        <v>0</v>
      </c>
      <c r="AX183" s="35">
        <f>F183*AP183</f>
        <v>0</v>
      </c>
      <c r="AY183" s="36" t="s">
        <v>652</v>
      </c>
      <c r="AZ183" s="36" t="s">
        <v>676</v>
      </c>
      <c r="BA183" s="27" t="s">
        <v>681</v>
      </c>
      <c r="BC183" s="35">
        <f>AW183+AX183</f>
        <v>0</v>
      </c>
      <c r="BD183" s="35">
        <f>G183/(100-BE183)*100</f>
        <v>0</v>
      </c>
      <c r="BE183" s="35">
        <v>0</v>
      </c>
      <c r="BF183" s="35">
        <f>M183</f>
        <v>1.2474000000000001</v>
      </c>
      <c r="BH183" s="20">
        <f>F183*AO183</f>
        <v>0</v>
      </c>
      <c r="BI183" s="20">
        <f>F183*AP183</f>
        <v>0</v>
      </c>
      <c r="BJ183" s="20">
        <f>F183*G183</f>
        <v>0</v>
      </c>
    </row>
    <row r="184" spans="1:62" x14ac:dyDescent="0.25">
      <c r="D184" s="17" t="s">
        <v>473</v>
      </c>
    </row>
    <row r="185" spans="1:62" x14ac:dyDescent="0.25">
      <c r="A185" s="5"/>
      <c r="B185" s="13"/>
      <c r="C185" s="13" t="s">
        <v>238</v>
      </c>
      <c r="D185" s="13" t="s">
        <v>474</v>
      </c>
      <c r="E185" s="5" t="s">
        <v>6</v>
      </c>
      <c r="F185" s="5" t="s">
        <v>6</v>
      </c>
      <c r="G185" s="90"/>
      <c r="H185" s="38">
        <f>SUM(H186:H191)</f>
        <v>0</v>
      </c>
      <c r="I185" s="38">
        <f>SUM(I186:I191)</f>
        <v>0</v>
      </c>
      <c r="J185" s="38">
        <f>SUM(J186:J191)</f>
        <v>0</v>
      </c>
      <c r="K185" s="42">
        <f>IF(J305=0,0,J185/J305)</f>
        <v>0</v>
      </c>
      <c r="L185" s="27"/>
      <c r="M185" s="38">
        <f>SUM(M186:M191)</f>
        <v>0.146865</v>
      </c>
      <c r="N185" s="27"/>
      <c r="AI185" s="27"/>
      <c r="AS185" s="38">
        <f>SUM(AJ186:AJ191)</f>
        <v>0</v>
      </c>
      <c r="AT185" s="38">
        <f>SUM(AK186:AK191)</f>
        <v>0</v>
      </c>
      <c r="AU185" s="38">
        <f>SUM(AL186:AL191)</f>
        <v>0</v>
      </c>
    </row>
    <row r="186" spans="1:62" x14ac:dyDescent="0.25">
      <c r="A186" s="4" t="s">
        <v>88</v>
      </c>
      <c r="B186" s="4"/>
      <c r="C186" s="4" t="s">
        <v>239</v>
      </c>
      <c r="D186" s="4" t="s">
        <v>475</v>
      </c>
      <c r="E186" s="4" t="s">
        <v>594</v>
      </c>
      <c r="F186" s="20">
        <v>18.5</v>
      </c>
      <c r="G186" s="88"/>
      <c r="H186" s="20">
        <f>F186*AO186</f>
        <v>0</v>
      </c>
      <c r="I186" s="20">
        <f>F186*AP186</f>
        <v>0</v>
      </c>
      <c r="J186" s="20">
        <f>F186*G186</f>
        <v>0</v>
      </c>
      <c r="K186" s="41">
        <f>IF(J305=0,0,J186/J305)</f>
        <v>0</v>
      </c>
      <c r="L186" s="20">
        <v>3.0000000000000001E-3</v>
      </c>
      <c r="M186" s="20">
        <f>F186*L186</f>
        <v>5.5500000000000001E-2</v>
      </c>
      <c r="N186" s="31" t="s">
        <v>620</v>
      </c>
      <c r="Z186" s="35">
        <f>IF(AQ186="5",BJ186,0)</f>
        <v>0</v>
      </c>
      <c r="AB186" s="35">
        <f>IF(AQ186="1",BH186,0)</f>
        <v>0</v>
      </c>
      <c r="AC186" s="35">
        <f>IF(AQ186="1",BI186,0)</f>
        <v>0</v>
      </c>
      <c r="AD186" s="35">
        <f>IF(AQ186="7",BH186,0)</f>
        <v>0</v>
      </c>
      <c r="AE186" s="35">
        <f>IF(AQ186="7",BI186,0)</f>
        <v>0</v>
      </c>
      <c r="AF186" s="35">
        <f>IF(AQ186="2",BH186,0)</f>
        <v>0</v>
      </c>
      <c r="AG186" s="35">
        <f>IF(AQ186="2",BI186,0)</f>
        <v>0</v>
      </c>
      <c r="AH186" s="35">
        <f>IF(AQ186="0",BJ186,0)</f>
        <v>0</v>
      </c>
      <c r="AI186" s="27"/>
      <c r="AJ186" s="20">
        <f>IF(AN186=0,J186,0)</f>
        <v>0</v>
      </c>
      <c r="AK186" s="20">
        <f>IF(AN186=15,J186,0)</f>
        <v>0</v>
      </c>
      <c r="AL186" s="20">
        <f>IF(AN186=21,J186,0)</f>
        <v>0</v>
      </c>
      <c r="AN186" s="35">
        <v>21</v>
      </c>
      <c r="AO186" s="35">
        <f>G186*0.558725207160631</f>
        <v>0</v>
      </c>
      <c r="AP186" s="35">
        <f>G186*(1-0.558725207160631)</f>
        <v>0</v>
      </c>
      <c r="AQ186" s="31" t="s">
        <v>13</v>
      </c>
      <c r="AV186" s="35">
        <f>AW186+AX186</f>
        <v>0</v>
      </c>
      <c r="AW186" s="35">
        <f>F186*AO186</f>
        <v>0</v>
      </c>
      <c r="AX186" s="35">
        <f>F186*AP186</f>
        <v>0</v>
      </c>
      <c r="AY186" s="36" t="s">
        <v>653</v>
      </c>
      <c r="AZ186" s="36" t="s">
        <v>676</v>
      </c>
      <c r="BA186" s="27" t="s">
        <v>681</v>
      </c>
      <c r="BC186" s="35">
        <f>AW186+AX186</f>
        <v>0</v>
      </c>
      <c r="BD186" s="35">
        <f>G186/(100-BE186)*100</f>
        <v>0</v>
      </c>
      <c r="BE186" s="35">
        <v>0</v>
      </c>
      <c r="BF186" s="35">
        <f>M186</f>
        <v>5.5500000000000001E-2</v>
      </c>
      <c r="BH186" s="20">
        <f>F186*AO186</f>
        <v>0</v>
      </c>
      <c r="BI186" s="20">
        <f>F186*AP186</f>
        <v>0</v>
      </c>
      <c r="BJ186" s="20">
        <f>F186*G186</f>
        <v>0</v>
      </c>
    </row>
    <row r="187" spans="1:62" x14ac:dyDescent="0.25">
      <c r="D187" s="17" t="s">
        <v>476</v>
      </c>
    </row>
    <row r="188" spans="1:62" x14ac:dyDescent="0.25">
      <c r="C188" s="14" t="s">
        <v>151</v>
      </c>
      <c r="D188" s="141" t="s">
        <v>477</v>
      </c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62" x14ac:dyDescent="0.25">
      <c r="A189" s="4" t="s">
        <v>89</v>
      </c>
      <c r="B189" s="4"/>
      <c r="C189" s="4" t="s">
        <v>240</v>
      </c>
      <c r="D189" s="4" t="s">
        <v>478</v>
      </c>
      <c r="E189" s="4" t="s">
        <v>597</v>
      </c>
      <c r="F189" s="20">
        <v>2</v>
      </c>
      <c r="G189" s="88"/>
      <c r="H189" s="20">
        <f>F189*AO189</f>
        <v>0</v>
      </c>
      <c r="I189" s="20">
        <f>F189*AP189</f>
        <v>0</v>
      </c>
      <c r="J189" s="20">
        <f>F189*G189</f>
        <v>0</v>
      </c>
      <c r="K189" s="41">
        <f>IF(J305=0,0,J189/J305)</f>
        <v>0</v>
      </c>
      <c r="L189" s="20">
        <v>6.4000000000000005E-4</v>
      </c>
      <c r="M189" s="20">
        <f>F189*L189</f>
        <v>1.2800000000000001E-3</v>
      </c>
      <c r="N189" s="31" t="s">
        <v>620</v>
      </c>
      <c r="Z189" s="35">
        <f>IF(AQ189="5",BJ189,0)</f>
        <v>0</v>
      </c>
      <c r="AB189" s="35">
        <f>IF(AQ189="1",BH189,0)</f>
        <v>0</v>
      </c>
      <c r="AC189" s="35">
        <f>IF(AQ189="1",BI189,0)</f>
        <v>0</v>
      </c>
      <c r="AD189" s="35">
        <f>IF(AQ189="7",BH189,0)</f>
        <v>0</v>
      </c>
      <c r="AE189" s="35">
        <f>IF(AQ189="7",BI189,0)</f>
        <v>0</v>
      </c>
      <c r="AF189" s="35">
        <f>IF(AQ189="2",BH189,0)</f>
        <v>0</v>
      </c>
      <c r="AG189" s="35">
        <f>IF(AQ189="2",BI189,0)</f>
        <v>0</v>
      </c>
      <c r="AH189" s="35">
        <f>IF(AQ189="0",BJ189,0)</f>
        <v>0</v>
      </c>
      <c r="AI189" s="27"/>
      <c r="AJ189" s="20">
        <f>IF(AN189=0,J189,0)</f>
        <v>0</v>
      </c>
      <c r="AK189" s="20">
        <f>IF(AN189=15,J189,0)</f>
        <v>0</v>
      </c>
      <c r="AL189" s="20">
        <f>IF(AN189=21,J189,0)</f>
        <v>0</v>
      </c>
      <c r="AN189" s="35">
        <v>21</v>
      </c>
      <c r="AO189" s="35">
        <f>G189*0.755626283367556</f>
        <v>0</v>
      </c>
      <c r="AP189" s="35">
        <f>G189*(1-0.755626283367556)</f>
        <v>0</v>
      </c>
      <c r="AQ189" s="31" t="s">
        <v>13</v>
      </c>
      <c r="AV189" s="35">
        <f>AW189+AX189</f>
        <v>0</v>
      </c>
      <c r="AW189" s="35">
        <f>F189*AO189</f>
        <v>0</v>
      </c>
      <c r="AX189" s="35">
        <f>F189*AP189</f>
        <v>0</v>
      </c>
      <c r="AY189" s="36" t="s">
        <v>653</v>
      </c>
      <c r="AZ189" s="36" t="s">
        <v>676</v>
      </c>
      <c r="BA189" s="27" t="s">
        <v>681</v>
      </c>
      <c r="BC189" s="35">
        <f>AW189+AX189</f>
        <v>0</v>
      </c>
      <c r="BD189" s="35">
        <f>G189/(100-BE189)*100</f>
        <v>0</v>
      </c>
      <c r="BE189" s="35">
        <v>0</v>
      </c>
      <c r="BF189" s="35">
        <f>M189</f>
        <v>1.2800000000000001E-3</v>
      </c>
      <c r="BH189" s="20">
        <f>F189*AO189</f>
        <v>0</v>
      </c>
      <c r="BI189" s="20">
        <f>F189*AP189</f>
        <v>0</v>
      </c>
      <c r="BJ189" s="20">
        <f>F189*G189</f>
        <v>0</v>
      </c>
    </row>
    <row r="190" spans="1:62" x14ac:dyDescent="0.25">
      <c r="A190" s="4" t="s">
        <v>90</v>
      </c>
      <c r="B190" s="4"/>
      <c r="C190" s="4" t="s">
        <v>241</v>
      </c>
      <c r="D190" s="4" t="s">
        <v>479</v>
      </c>
      <c r="E190" s="4" t="s">
        <v>594</v>
      </c>
      <c r="F190" s="20">
        <v>18.5</v>
      </c>
      <c r="G190" s="88"/>
      <c r="H190" s="20">
        <f>F190*AO190</f>
        <v>0</v>
      </c>
      <c r="I190" s="20">
        <f>F190*AP190</f>
        <v>0</v>
      </c>
      <c r="J190" s="20">
        <f>F190*G190</f>
        <v>0</v>
      </c>
      <c r="K190" s="41">
        <f>IF(J305=0,0,J190/J305)</f>
        <v>0</v>
      </c>
      <c r="L190" s="20">
        <v>2.4499999999999999E-3</v>
      </c>
      <c r="M190" s="20">
        <f>F190*L190</f>
        <v>4.5324999999999997E-2</v>
      </c>
      <c r="N190" s="31" t="s">
        <v>620</v>
      </c>
      <c r="Z190" s="35">
        <f>IF(AQ190="5",BJ190,0)</f>
        <v>0</v>
      </c>
      <c r="AB190" s="35">
        <f>IF(AQ190="1",BH190,0)</f>
        <v>0</v>
      </c>
      <c r="AC190" s="35">
        <f>IF(AQ190="1",BI190,0)</f>
        <v>0</v>
      </c>
      <c r="AD190" s="35">
        <f>IF(AQ190="7",BH190,0)</f>
        <v>0</v>
      </c>
      <c r="AE190" s="35">
        <f>IF(AQ190="7",BI190,0)</f>
        <v>0</v>
      </c>
      <c r="AF190" s="35">
        <f>IF(AQ190="2",BH190,0)</f>
        <v>0</v>
      </c>
      <c r="AG190" s="35">
        <f>IF(AQ190="2",BI190,0)</f>
        <v>0</v>
      </c>
      <c r="AH190" s="35">
        <f>IF(AQ190="0",BJ190,0)</f>
        <v>0</v>
      </c>
      <c r="AI190" s="27"/>
      <c r="AJ190" s="20">
        <f>IF(AN190=0,J190,0)</f>
        <v>0</v>
      </c>
      <c r="AK190" s="20">
        <f>IF(AN190=15,J190,0)</f>
        <v>0</v>
      </c>
      <c r="AL190" s="20">
        <f>IF(AN190=21,J190,0)</f>
        <v>0</v>
      </c>
      <c r="AN190" s="35">
        <v>21</v>
      </c>
      <c r="AO190" s="35">
        <f>G190*0.435567567567568</f>
        <v>0</v>
      </c>
      <c r="AP190" s="35">
        <f>G190*(1-0.435567567567568)</f>
        <v>0</v>
      </c>
      <c r="AQ190" s="31" t="s">
        <v>13</v>
      </c>
      <c r="AV190" s="35">
        <f>AW190+AX190</f>
        <v>0</v>
      </c>
      <c r="AW190" s="35">
        <f>F190*AO190</f>
        <v>0</v>
      </c>
      <c r="AX190" s="35">
        <f>F190*AP190</f>
        <v>0</v>
      </c>
      <c r="AY190" s="36" t="s">
        <v>653</v>
      </c>
      <c r="AZ190" s="36" t="s">
        <v>676</v>
      </c>
      <c r="BA190" s="27" t="s">
        <v>681</v>
      </c>
      <c r="BC190" s="35">
        <f>AW190+AX190</f>
        <v>0</v>
      </c>
      <c r="BD190" s="35">
        <f>G190/(100-BE190)*100</f>
        <v>0</v>
      </c>
      <c r="BE190" s="35">
        <v>0</v>
      </c>
      <c r="BF190" s="35">
        <f>M190</f>
        <v>4.5324999999999997E-2</v>
      </c>
      <c r="BH190" s="20">
        <f>F190*AO190</f>
        <v>0</v>
      </c>
      <c r="BI190" s="20">
        <f>F190*AP190</f>
        <v>0</v>
      </c>
      <c r="BJ190" s="20">
        <f>F190*G190</f>
        <v>0</v>
      </c>
    </row>
    <row r="191" spans="1:62" x14ac:dyDescent="0.25">
      <c r="A191" s="4" t="s">
        <v>91</v>
      </c>
      <c r="B191" s="4"/>
      <c r="C191" s="4" t="s">
        <v>242</v>
      </c>
      <c r="D191" s="4" t="s">
        <v>480</v>
      </c>
      <c r="E191" s="4" t="s">
        <v>594</v>
      </c>
      <c r="F191" s="20">
        <v>12</v>
      </c>
      <c r="G191" s="88"/>
      <c r="H191" s="20">
        <f>F191*AO191</f>
        <v>0</v>
      </c>
      <c r="I191" s="20">
        <f>F191*AP191</f>
        <v>0</v>
      </c>
      <c r="J191" s="20">
        <f>F191*G191</f>
        <v>0</v>
      </c>
      <c r="K191" s="41">
        <f>IF(J305=0,0,J191/J305)</f>
        <v>0</v>
      </c>
      <c r="L191" s="20">
        <v>3.7299999999999998E-3</v>
      </c>
      <c r="M191" s="20">
        <f>F191*L191</f>
        <v>4.4759999999999994E-2</v>
      </c>
      <c r="N191" s="31" t="s">
        <v>620</v>
      </c>
      <c r="Z191" s="35">
        <f>IF(AQ191="5",BJ191,0)</f>
        <v>0</v>
      </c>
      <c r="AB191" s="35">
        <f>IF(AQ191="1",BH191,0)</f>
        <v>0</v>
      </c>
      <c r="AC191" s="35">
        <f>IF(AQ191="1",BI191,0)</f>
        <v>0</v>
      </c>
      <c r="AD191" s="35">
        <f>IF(AQ191="7",BH191,0)</f>
        <v>0</v>
      </c>
      <c r="AE191" s="35">
        <f>IF(AQ191="7",BI191,0)</f>
        <v>0</v>
      </c>
      <c r="AF191" s="35">
        <f>IF(AQ191="2",BH191,0)</f>
        <v>0</v>
      </c>
      <c r="AG191" s="35">
        <f>IF(AQ191="2",BI191,0)</f>
        <v>0</v>
      </c>
      <c r="AH191" s="35">
        <f>IF(AQ191="0",BJ191,0)</f>
        <v>0</v>
      </c>
      <c r="AI191" s="27"/>
      <c r="AJ191" s="20">
        <f>IF(AN191=0,J191,0)</f>
        <v>0</v>
      </c>
      <c r="AK191" s="20">
        <f>IF(AN191=15,J191,0)</f>
        <v>0</v>
      </c>
      <c r="AL191" s="20">
        <f>IF(AN191=21,J191,0)</f>
        <v>0</v>
      </c>
      <c r="AN191" s="35">
        <v>21</v>
      </c>
      <c r="AO191" s="35">
        <f>G191*0.611788440702873</f>
        <v>0</v>
      </c>
      <c r="AP191" s="35">
        <f>G191*(1-0.611788440702873)</f>
        <v>0</v>
      </c>
      <c r="AQ191" s="31" t="s">
        <v>13</v>
      </c>
      <c r="AV191" s="35">
        <f>AW191+AX191</f>
        <v>0</v>
      </c>
      <c r="AW191" s="35">
        <f>F191*AO191</f>
        <v>0</v>
      </c>
      <c r="AX191" s="35">
        <f>F191*AP191</f>
        <v>0</v>
      </c>
      <c r="AY191" s="36" t="s">
        <v>653</v>
      </c>
      <c r="AZ191" s="36" t="s">
        <v>676</v>
      </c>
      <c r="BA191" s="27" t="s">
        <v>681</v>
      </c>
      <c r="BC191" s="35">
        <f>AW191+AX191</f>
        <v>0</v>
      </c>
      <c r="BD191" s="35">
        <f>G191/(100-BE191)*100</f>
        <v>0</v>
      </c>
      <c r="BE191" s="35">
        <v>0</v>
      </c>
      <c r="BF191" s="35">
        <f>M191</f>
        <v>4.4759999999999994E-2</v>
      </c>
      <c r="BH191" s="20">
        <f>F191*AO191</f>
        <v>0</v>
      </c>
      <c r="BI191" s="20">
        <f>F191*AP191</f>
        <v>0</v>
      </c>
      <c r="BJ191" s="20">
        <f>F191*G191</f>
        <v>0</v>
      </c>
    </row>
    <row r="192" spans="1:62" x14ac:dyDescent="0.25">
      <c r="C192" s="14" t="s">
        <v>151</v>
      </c>
      <c r="D192" s="141" t="s">
        <v>481</v>
      </c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</row>
    <row r="193" spans="1:62" x14ac:dyDescent="0.25">
      <c r="A193" s="5"/>
      <c r="B193" s="13"/>
      <c r="C193" s="13" t="s">
        <v>243</v>
      </c>
      <c r="D193" s="13" t="s">
        <v>482</v>
      </c>
      <c r="E193" s="5" t="s">
        <v>6</v>
      </c>
      <c r="F193" s="5" t="s">
        <v>6</v>
      </c>
      <c r="G193" s="90" t="s">
        <v>6</v>
      </c>
      <c r="H193" s="38">
        <f>SUM(H194:H198)</f>
        <v>0</v>
      </c>
      <c r="I193" s="38">
        <f>SUM(I194:I198)</f>
        <v>0</v>
      </c>
      <c r="J193" s="38">
        <f>SUM(J194:J198)</f>
        <v>0</v>
      </c>
      <c r="K193" s="42">
        <f>IF(J305=0,0,J193/J305)</f>
        <v>0</v>
      </c>
      <c r="L193" s="27"/>
      <c r="M193" s="38">
        <f>SUM(M194:M198)</f>
        <v>4.4687599999999994E-2</v>
      </c>
      <c r="N193" s="27"/>
      <c r="AI193" s="27"/>
      <c r="AS193" s="38">
        <f>SUM(AJ194:AJ198)</f>
        <v>0</v>
      </c>
      <c r="AT193" s="38">
        <f>SUM(AK194:AK198)</f>
        <v>0</v>
      </c>
      <c r="AU193" s="38">
        <f>SUM(AL194:AL198)</f>
        <v>0</v>
      </c>
    </row>
    <row r="194" spans="1:62" x14ac:dyDescent="0.25">
      <c r="A194" s="4" t="s">
        <v>92</v>
      </c>
      <c r="B194" s="4"/>
      <c r="C194" s="4" t="s">
        <v>244</v>
      </c>
      <c r="D194" s="4" t="s">
        <v>483</v>
      </c>
      <c r="E194" s="4" t="s">
        <v>591</v>
      </c>
      <c r="F194" s="20">
        <v>20.440000000000001</v>
      </c>
      <c r="G194" s="88"/>
      <c r="H194" s="20">
        <f>F194*AO194</f>
        <v>0</v>
      </c>
      <c r="I194" s="20">
        <f>F194*AP194</f>
        <v>0</v>
      </c>
      <c r="J194" s="20">
        <f>F194*G194</f>
        <v>0</v>
      </c>
      <c r="K194" s="41">
        <f>IF(J305=0,0,J194/J305)</f>
        <v>0</v>
      </c>
      <c r="L194" s="20">
        <v>1.7899999999999999E-3</v>
      </c>
      <c r="M194" s="20">
        <f>F194*L194</f>
        <v>3.6587599999999998E-2</v>
      </c>
      <c r="N194" s="31" t="s">
        <v>620</v>
      </c>
      <c r="Z194" s="35">
        <f>IF(AQ194="5",BJ194,0)</f>
        <v>0</v>
      </c>
      <c r="AB194" s="35">
        <f>IF(AQ194="1",BH194,0)</f>
        <v>0</v>
      </c>
      <c r="AC194" s="35">
        <f>IF(AQ194="1",BI194,0)</f>
        <v>0</v>
      </c>
      <c r="AD194" s="35">
        <f>IF(AQ194="7",BH194,0)</f>
        <v>0</v>
      </c>
      <c r="AE194" s="35">
        <f>IF(AQ194="7",BI194,0)</f>
        <v>0</v>
      </c>
      <c r="AF194" s="35">
        <f>IF(AQ194="2",BH194,0)</f>
        <v>0</v>
      </c>
      <c r="AG194" s="35">
        <f>IF(AQ194="2",BI194,0)</f>
        <v>0</v>
      </c>
      <c r="AH194" s="35">
        <f>IF(AQ194="0",BJ194,0)</f>
        <v>0</v>
      </c>
      <c r="AI194" s="27"/>
      <c r="AJ194" s="20">
        <f>IF(AN194=0,J194,0)</f>
        <v>0</v>
      </c>
      <c r="AK194" s="20">
        <f>IF(AN194=15,J194,0)</f>
        <v>0</v>
      </c>
      <c r="AL194" s="20">
        <f>IF(AN194=21,J194,0)</f>
        <v>0</v>
      </c>
      <c r="AN194" s="35">
        <v>21</v>
      </c>
      <c r="AO194" s="35">
        <f>G194*0.891685393258427</f>
        <v>0</v>
      </c>
      <c r="AP194" s="35">
        <f>G194*(1-0.891685393258427)</f>
        <v>0</v>
      </c>
      <c r="AQ194" s="31" t="s">
        <v>13</v>
      </c>
      <c r="AV194" s="35">
        <f>AW194+AX194</f>
        <v>0</v>
      </c>
      <c r="AW194" s="35">
        <f>F194*AO194</f>
        <v>0</v>
      </c>
      <c r="AX194" s="35">
        <f>F194*AP194</f>
        <v>0</v>
      </c>
      <c r="AY194" s="36" t="s">
        <v>654</v>
      </c>
      <c r="AZ194" s="36" t="s">
        <v>676</v>
      </c>
      <c r="BA194" s="27" t="s">
        <v>681</v>
      </c>
      <c r="BC194" s="35">
        <f>AW194+AX194</f>
        <v>0</v>
      </c>
      <c r="BD194" s="35">
        <f>G194/(100-BE194)*100</f>
        <v>0</v>
      </c>
      <c r="BE194" s="35">
        <v>0</v>
      </c>
      <c r="BF194" s="35">
        <f>M194</f>
        <v>3.6587599999999998E-2</v>
      </c>
      <c r="BH194" s="20">
        <f>F194*AO194</f>
        <v>0</v>
      </c>
      <c r="BI194" s="20">
        <f>F194*AP194</f>
        <v>0</v>
      </c>
      <c r="BJ194" s="20">
        <f>F194*G194</f>
        <v>0</v>
      </c>
    </row>
    <row r="195" spans="1:62" x14ac:dyDescent="0.25">
      <c r="C195" s="14" t="s">
        <v>151</v>
      </c>
      <c r="D195" s="141" t="s">
        <v>484</v>
      </c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</row>
    <row r="196" spans="1:62" x14ac:dyDescent="0.25">
      <c r="A196" s="4" t="s">
        <v>93</v>
      </c>
      <c r="B196" s="4"/>
      <c r="C196" s="4" t="s">
        <v>245</v>
      </c>
      <c r="D196" s="4" t="s">
        <v>485</v>
      </c>
      <c r="E196" s="4" t="s">
        <v>597</v>
      </c>
      <c r="F196" s="20">
        <v>2</v>
      </c>
      <c r="G196" s="88"/>
      <c r="H196" s="20">
        <f>F196*AO196</f>
        <v>0</v>
      </c>
      <c r="I196" s="20">
        <f>F196*AP196</f>
        <v>0</v>
      </c>
      <c r="J196" s="20">
        <f>F196*G196</f>
        <v>0</v>
      </c>
      <c r="K196" s="41">
        <f>IF(J305=0,0,J196/J305)</f>
        <v>0</v>
      </c>
      <c r="L196" s="20">
        <v>1.6199999999999999E-3</v>
      </c>
      <c r="M196" s="20">
        <f>F196*L196</f>
        <v>3.2399999999999998E-3</v>
      </c>
      <c r="N196" s="31" t="s">
        <v>620</v>
      </c>
      <c r="Z196" s="35">
        <f>IF(AQ196="5",BJ196,0)</f>
        <v>0</v>
      </c>
      <c r="AB196" s="35">
        <f>IF(AQ196="1",BH196,0)</f>
        <v>0</v>
      </c>
      <c r="AC196" s="35">
        <f>IF(AQ196="1",BI196,0)</f>
        <v>0</v>
      </c>
      <c r="AD196" s="35">
        <f>IF(AQ196="7",BH196,0)</f>
        <v>0</v>
      </c>
      <c r="AE196" s="35">
        <f>IF(AQ196="7",BI196,0)</f>
        <v>0</v>
      </c>
      <c r="AF196" s="35">
        <f>IF(AQ196="2",BH196,0)</f>
        <v>0</v>
      </c>
      <c r="AG196" s="35">
        <f>IF(AQ196="2",BI196,0)</f>
        <v>0</v>
      </c>
      <c r="AH196" s="35">
        <f>IF(AQ196="0",BJ196,0)</f>
        <v>0</v>
      </c>
      <c r="AI196" s="27"/>
      <c r="AJ196" s="20">
        <f>IF(AN196=0,J196,0)</f>
        <v>0</v>
      </c>
      <c r="AK196" s="20">
        <f>IF(AN196=15,J196,0)</f>
        <v>0</v>
      </c>
      <c r="AL196" s="20">
        <f>IF(AN196=21,J196,0)</f>
        <v>0</v>
      </c>
      <c r="AN196" s="35">
        <v>21</v>
      </c>
      <c r="AO196" s="35">
        <f>G196*0.824940378289474</f>
        <v>0</v>
      </c>
      <c r="AP196" s="35">
        <f>G196*(1-0.824940378289474)</f>
        <v>0</v>
      </c>
      <c r="AQ196" s="31" t="s">
        <v>13</v>
      </c>
      <c r="AV196" s="35">
        <f>AW196+AX196</f>
        <v>0</v>
      </c>
      <c r="AW196" s="35">
        <f>F196*AO196</f>
        <v>0</v>
      </c>
      <c r="AX196" s="35">
        <f>F196*AP196</f>
        <v>0</v>
      </c>
      <c r="AY196" s="36" t="s">
        <v>654</v>
      </c>
      <c r="AZ196" s="36" t="s">
        <v>676</v>
      </c>
      <c r="BA196" s="27" t="s">
        <v>681</v>
      </c>
      <c r="BC196" s="35">
        <f>AW196+AX196</f>
        <v>0</v>
      </c>
      <c r="BD196" s="35">
        <f>G196/(100-BE196)*100</f>
        <v>0</v>
      </c>
      <c r="BE196" s="35">
        <v>0</v>
      </c>
      <c r="BF196" s="35">
        <f>M196</f>
        <v>3.2399999999999998E-3</v>
      </c>
      <c r="BH196" s="20">
        <f>F196*AO196</f>
        <v>0</v>
      </c>
      <c r="BI196" s="20">
        <f>F196*AP196</f>
        <v>0</v>
      </c>
      <c r="BJ196" s="20">
        <f>F196*G196</f>
        <v>0</v>
      </c>
    </row>
    <row r="197" spans="1:62" x14ac:dyDescent="0.25">
      <c r="C197" s="14" t="s">
        <v>151</v>
      </c>
      <c r="D197" s="141" t="s">
        <v>486</v>
      </c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</row>
    <row r="198" spans="1:62" x14ac:dyDescent="0.25">
      <c r="A198" s="4" t="s">
        <v>94</v>
      </c>
      <c r="B198" s="4"/>
      <c r="C198" s="4" t="s">
        <v>245</v>
      </c>
      <c r="D198" s="4" t="s">
        <v>487</v>
      </c>
      <c r="E198" s="4" t="s">
        <v>597</v>
      </c>
      <c r="F198" s="20">
        <v>3</v>
      </c>
      <c r="G198" s="88"/>
      <c r="H198" s="20">
        <f>F198*AO198</f>
        <v>0</v>
      </c>
      <c r="I198" s="20">
        <f>F198*AP198</f>
        <v>0</v>
      </c>
      <c r="J198" s="20">
        <f>F198*G198</f>
        <v>0</v>
      </c>
      <c r="K198" s="41">
        <f>IF(J305=0,0,J198/J305)</f>
        <v>0</v>
      </c>
      <c r="L198" s="20">
        <v>1.6199999999999999E-3</v>
      </c>
      <c r="M198" s="20">
        <f>F198*L198</f>
        <v>4.8599999999999997E-3</v>
      </c>
      <c r="N198" s="31" t="s">
        <v>620</v>
      </c>
      <c r="Z198" s="35">
        <f>IF(AQ198="5",BJ198,0)</f>
        <v>0</v>
      </c>
      <c r="AB198" s="35">
        <f>IF(AQ198="1",BH198,0)</f>
        <v>0</v>
      </c>
      <c r="AC198" s="35">
        <f>IF(AQ198="1",BI198,0)</f>
        <v>0</v>
      </c>
      <c r="AD198" s="35">
        <f>IF(AQ198="7",BH198,0)</f>
        <v>0</v>
      </c>
      <c r="AE198" s="35">
        <f>IF(AQ198="7",BI198,0)</f>
        <v>0</v>
      </c>
      <c r="AF198" s="35">
        <f>IF(AQ198="2",BH198,0)</f>
        <v>0</v>
      </c>
      <c r="AG198" s="35">
        <f>IF(AQ198="2",BI198,0)</f>
        <v>0</v>
      </c>
      <c r="AH198" s="35">
        <f>IF(AQ198="0",BJ198,0)</f>
        <v>0</v>
      </c>
      <c r="AI198" s="27"/>
      <c r="AJ198" s="20">
        <f>IF(AN198=0,J198,0)</f>
        <v>0</v>
      </c>
      <c r="AK198" s="20">
        <f>IF(AN198=15,J198,0)</f>
        <v>0</v>
      </c>
      <c r="AL198" s="20">
        <f>IF(AN198=21,J198,0)</f>
        <v>0</v>
      </c>
      <c r="AN198" s="35">
        <v>21</v>
      </c>
      <c r="AO198" s="35">
        <f>G198*0.824940378289474</f>
        <v>0</v>
      </c>
      <c r="AP198" s="35">
        <f>G198*(1-0.824940378289474)</f>
        <v>0</v>
      </c>
      <c r="AQ198" s="31" t="s">
        <v>13</v>
      </c>
      <c r="AV198" s="35">
        <f>AW198+AX198</f>
        <v>0</v>
      </c>
      <c r="AW198" s="35">
        <f>F198*AO198</f>
        <v>0</v>
      </c>
      <c r="AX198" s="35">
        <f>F198*AP198</f>
        <v>0</v>
      </c>
      <c r="AY198" s="36" t="s">
        <v>654</v>
      </c>
      <c r="AZ198" s="36" t="s">
        <v>676</v>
      </c>
      <c r="BA198" s="27" t="s">
        <v>681</v>
      </c>
      <c r="BC198" s="35">
        <f>AW198+AX198</f>
        <v>0</v>
      </c>
      <c r="BD198" s="35">
        <f>G198/(100-BE198)*100</f>
        <v>0</v>
      </c>
      <c r="BE198" s="35">
        <v>0</v>
      </c>
      <c r="BF198" s="35">
        <f>M198</f>
        <v>4.8599999999999997E-3</v>
      </c>
      <c r="BH198" s="20">
        <f>F198*AO198</f>
        <v>0</v>
      </c>
      <c r="BI198" s="20">
        <f>F198*AP198</f>
        <v>0</v>
      </c>
      <c r="BJ198" s="20">
        <f>F198*G198</f>
        <v>0</v>
      </c>
    </row>
    <row r="199" spans="1:62" x14ac:dyDescent="0.25">
      <c r="C199" s="14" t="s">
        <v>151</v>
      </c>
      <c r="D199" s="141" t="s">
        <v>486</v>
      </c>
      <c r="E199" s="142"/>
      <c r="F199" s="142"/>
      <c r="G199" s="142"/>
      <c r="H199" s="142"/>
      <c r="I199" s="142"/>
      <c r="J199" s="142"/>
      <c r="K199" s="142"/>
      <c r="L199" s="142"/>
      <c r="M199" s="142"/>
      <c r="N199" s="142"/>
    </row>
    <row r="200" spans="1:62" x14ac:dyDescent="0.25">
      <c r="A200" s="5"/>
      <c r="B200" s="13"/>
      <c r="C200" s="13" t="s">
        <v>246</v>
      </c>
      <c r="D200" s="13" t="s">
        <v>488</v>
      </c>
      <c r="E200" s="5" t="s">
        <v>6</v>
      </c>
      <c r="F200" s="5" t="s">
        <v>6</v>
      </c>
      <c r="G200" s="90" t="s">
        <v>6</v>
      </c>
      <c r="H200" s="38">
        <f>SUM(H201:H226)</f>
        <v>0</v>
      </c>
      <c r="I200" s="38">
        <f>SUM(I201:I226)</f>
        <v>0</v>
      </c>
      <c r="J200" s="38">
        <f>SUM(J201:J226)</f>
        <v>0</v>
      </c>
      <c r="K200" s="42">
        <f>IF(J305=0,0,J200/J305)</f>
        <v>0</v>
      </c>
      <c r="L200" s="27"/>
      <c r="M200" s="38">
        <f>SUM(M201:M226)</f>
        <v>8.9459695999999997</v>
      </c>
      <c r="N200" s="27"/>
      <c r="AI200" s="27"/>
      <c r="AS200" s="38">
        <f>SUM(AJ201:AJ226)</f>
        <v>0</v>
      </c>
      <c r="AT200" s="38">
        <f>SUM(AK201:AK226)</f>
        <v>0</v>
      </c>
      <c r="AU200" s="38">
        <f>SUM(AL201:AL226)</f>
        <v>0</v>
      </c>
    </row>
    <row r="201" spans="1:62" x14ac:dyDescent="0.25">
      <c r="A201" s="4" t="s">
        <v>95</v>
      </c>
      <c r="B201" s="4"/>
      <c r="C201" s="4" t="s">
        <v>247</v>
      </c>
      <c r="D201" s="4" t="s">
        <v>489</v>
      </c>
      <c r="E201" s="4" t="s">
        <v>595</v>
      </c>
      <c r="F201" s="20">
        <v>5312.65</v>
      </c>
      <c r="G201" s="88"/>
      <c r="H201" s="20">
        <f>F201*AO201</f>
        <v>0</v>
      </c>
      <c r="I201" s="20">
        <f>F201*AP201</f>
        <v>0</v>
      </c>
      <c r="J201" s="20">
        <f>F201*G201</f>
        <v>0</v>
      </c>
      <c r="K201" s="41">
        <f>IF(J305=0,0,J201/J305)</f>
        <v>0</v>
      </c>
      <c r="L201" s="20">
        <v>6.0000000000000002E-5</v>
      </c>
      <c r="M201" s="20">
        <f>F201*L201</f>
        <v>0.31875899999999996</v>
      </c>
      <c r="N201" s="31" t="s">
        <v>620</v>
      </c>
      <c r="Z201" s="35">
        <f>IF(AQ201="5",BJ201,0)</f>
        <v>0</v>
      </c>
      <c r="AB201" s="35">
        <f>IF(AQ201="1",BH201,0)</f>
        <v>0</v>
      </c>
      <c r="AC201" s="35">
        <f>IF(AQ201="1",BI201,0)</f>
        <v>0</v>
      </c>
      <c r="AD201" s="35">
        <f>IF(AQ201="7",BH201,0)</f>
        <v>0</v>
      </c>
      <c r="AE201" s="35">
        <f>IF(AQ201="7",BI201,0)</f>
        <v>0</v>
      </c>
      <c r="AF201" s="35">
        <f>IF(AQ201="2",BH201,0)</f>
        <v>0</v>
      </c>
      <c r="AG201" s="35">
        <f>IF(AQ201="2",BI201,0)</f>
        <v>0</v>
      </c>
      <c r="AH201" s="35">
        <f>IF(AQ201="0",BJ201,0)</f>
        <v>0</v>
      </c>
      <c r="AI201" s="27"/>
      <c r="AJ201" s="20">
        <f>IF(AN201=0,J201,0)</f>
        <v>0</v>
      </c>
      <c r="AK201" s="20">
        <f>IF(AN201=15,J201,0)</f>
        <v>0</v>
      </c>
      <c r="AL201" s="20">
        <f>IF(AN201=21,J201,0)</f>
        <v>0</v>
      </c>
      <c r="AN201" s="35">
        <v>21</v>
      </c>
      <c r="AO201" s="35">
        <f>G201*0.294458522492187</f>
        <v>0</v>
      </c>
      <c r="AP201" s="35">
        <f>G201*(1-0.294458522492187)</f>
        <v>0</v>
      </c>
      <c r="AQ201" s="31" t="s">
        <v>13</v>
      </c>
      <c r="AV201" s="35">
        <f>AW201+AX201</f>
        <v>0</v>
      </c>
      <c r="AW201" s="35">
        <f>F201*AO201</f>
        <v>0</v>
      </c>
      <c r="AX201" s="35">
        <f>F201*AP201</f>
        <v>0</v>
      </c>
      <c r="AY201" s="36" t="s">
        <v>655</v>
      </c>
      <c r="AZ201" s="36" t="s">
        <v>676</v>
      </c>
      <c r="BA201" s="27" t="s">
        <v>681</v>
      </c>
      <c r="BC201" s="35">
        <f>AW201+AX201</f>
        <v>0</v>
      </c>
      <c r="BD201" s="35">
        <f>G201/(100-BE201)*100</f>
        <v>0</v>
      </c>
      <c r="BE201" s="35">
        <v>0</v>
      </c>
      <c r="BF201" s="35">
        <f>M201</f>
        <v>0.31875899999999996</v>
      </c>
      <c r="BH201" s="20">
        <f>F201*AO201</f>
        <v>0</v>
      </c>
      <c r="BI201" s="20">
        <f>F201*AP201</f>
        <v>0</v>
      </c>
      <c r="BJ201" s="20">
        <f>F201*G201</f>
        <v>0</v>
      </c>
    </row>
    <row r="202" spans="1:62" x14ac:dyDescent="0.25">
      <c r="A202" s="6" t="s">
        <v>96</v>
      </c>
      <c r="B202" s="6"/>
      <c r="C202" s="6" t="s">
        <v>248</v>
      </c>
      <c r="D202" s="6" t="s">
        <v>490</v>
      </c>
      <c r="E202" s="6" t="s">
        <v>597</v>
      </c>
      <c r="F202" s="21">
        <v>259.45499999999998</v>
      </c>
      <c r="G202" s="91"/>
      <c r="H202" s="21">
        <f>F202*AO202</f>
        <v>0</v>
      </c>
      <c r="I202" s="21">
        <f>F202*AP202</f>
        <v>0</v>
      </c>
      <c r="J202" s="21">
        <f>F202*G202</f>
        <v>0</v>
      </c>
      <c r="K202" s="43">
        <f>IF(J305=0,0,J202/J305)</f>
        <v>0</v>
      </c>
      <c r="L202" s="21">
        <v>2.92E-2</v>
      </c>
      <c r="M202" s="21">
        <f>F202*L202</f>
        <v>7.5760859999999992</v>
      </c>
      <c r="N202" s="32" t="s">
        <v>620</v>
      </c>
      <c r="Z202" s="35">
        <f>IF(AQ202="5",BJ202,0)</f>
        <v>0</v>
      </c>
      <c r="AB202" s="35">
        <f>IF(AQ202="1",BH202,0)</f>
        <v>0</v>
      </c>
      <c r="AC202" s="35">
        <f>IF(AQ202="1",BI202,0)</f>
        <v>0</v>
      </c>
      <c r="AD202" s="35">
        <f>IF(AQ202="7",BH202,0)</f>
        <v>0</v>
      </c>
      <c r="AE202" s="35">
        <f>IF(AQ202="7",BI202,0)</f>
        <v>0</v>
      </c>
      <c r="AF202" s="35">
        <f>IF(AQ202="2",BH202,0)</f>
        <v>0</v>
      </c>
      <c r="AG202" s="35">
        <f>IF(AQ202="2",BI202,0)</f>
        <v>0</v>
      </c>
      <c r="AH202" s="35">
        <f>IF(AQ202="0",BJ202,0)</f>
        <v>0</v>
      </c>
      <c r="AI202" s="27"/>
      <c r="AJ202" s="21">
        <f>IF(AN202=0,J202,0)</f>
        <v>0</v>
      </c>
      <c r="AK202" s="21">
        <f>IF(AN202=15,J202,0)</f>
        <v>0</v>
      </c>
      <c r="AL202" s="21">
        <f>IF(AN202=21,J202,0)</f>
        <v>0</v>
      </c>
      <c r="AN202" s="35">
        <v>21</v>
      </c>
      <c r="AO202" s="35">
        <f>G202*1</f>
        <v>0</v>
      </c>
      <c r="AP202" s="35">
        <f>G202*(1-1)</f>
        <v>0</v>
      </c>
      <c r="AQ202" s="32" t="s">
        <v>13</v>
      </c>
      <c r="AV202" s="35">
        <f>AW202+AX202</f>
        <v>0</v>
      </c>
      <c r="AW202" s="35">
        <f>F202*AO202</f>
        <v>0</v>
      </c>
      <c r="AX202" s="35">
        <f>F202*AP202</f>
        <v>0</v>
      </c>
      <c r="AY202" s="36" t="s">
        <v>655</v>
      </c>
      <c r="AZ202" s="36" t="s">
        <v>676</v>
      </c>
      <c r="BA202" s="27" t="s">
        <v>681</v>
      </c>
      <c r="BC202" s="35">
        <f>AW202+AX202</f>
        <v>0</v>
      </c>
      <c r="BD202" s="35">
        <f>G202/(100-BE202)*100</f>
        <v>0</v>
      </c>
      <c r="BE202" s="35">
        <v>0</v>
      </c>
      <c r="BF202" s="35">
        <f>M202</f>
        <v>7.5760859999999992</v>
      </c>
      <c r="BH202" s="21">
        <f>F202*AO202</f>
        <v>0</v>
      </c>
      <c r="BI202" s="21">
        <f>F202*AP202</f>
        <v>0</v>
      </c>
      <c r="BJ202" s="21">
        <f>F202*G202</f>
        <v>0</v>
      </c>
    </row>
    <row r="203" spans="1:62" x14ac:dyDescent="0.25">
      <c r="C203" s="14" t="s">
        <v>151</v>
      </c>
      <c r="D203" s="141" t="s">
        <v>491</v>
      </c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</row>
    <row r="204" spans="1:62" x14ac:dyDescent="0.25">
      <c r="A204" s="6" t="s">
        <v>97</v>
      </c>
      <c r="B204" s="6"/>
      <c r="C204" s="6" t="s">
        <v>249</v>
      </c>
      <c r="D204" s="6" t="s">
        <v>492</v>
      </c>
      <c r="E204" s="6" t="s">
        <v>597</v>
      </c>
      <c r="F204" s="21">
        <v>1</v>
      </c>
      <c r="G204" s="91"/>
      <c r="H204" s="21">
        <f>F204*AO204</f>
        <v>0</v>
      </c>
      <c r="I204" s="21">
        <f>F204*AP204</f>
        <v>0</v>
      </c>
      <c r="J204" s="21">
        <f>F204*G204</f>
        <v>0</v>
      </c>
      <c r="K204" s="43">
        <f>IF(J305=0,0,J204/J305)</f>
        <v>0</v>
      </c>
      <c r="L204" s="21">
        <v>1.8599999999999998E-2</v>
      </c>
      <c r="M204" s="21">
        <f>F204*L204</f>
        <v>1.8599999999999998E-2</v>
      </c>
      <c r="N204" s="32" t="s">
        <v>620</v>
      </c>
      <c r="Z204" s="35">
        <f>IF(AQ204="5",BJ204,0)</f>
        <v>0</v>
      </c>
      <c r="AB204" s="35">
        <f>IF(AQ204="1",BH204,0)</f>
        <v>0</v>
      </c>
      <c r="AC204" s="35">
        <f>IF(AQ204="1",BI204,0)</f>
        <v>0</v>
      </c>
      <c r="AD204" s="35">
        <f>IF(AQ204="7",BH204,0)</f>
        <v>0</v>
      </c>
      <c r="AE204" s="35">
        <f>IF(AQ204="7",BI204,0)</f>
        <v>0</v>
      </c>
      <c r="AF204" s="35">
        <f>IF(AQ204="2",BH204,0)</f>
        <v>0</v>
      </c>
      <c r="AG204" s="35">
        <f>IF(AQ204="2",BI204,0)</f>
        <v>0</v>
      </c>
      <c r="AH204" s="35">
        <f>IF(AQ204="0",BJ204,0)</f>
        <v>0</v>
      </c>
      <c r="AI204" s="27"/>
      <c r="AJ204" s="21">
        <f>IF(AN204=0,J204,0)</f>
        <v>0</v>
      </c>
      <c r="AK204" s="21">
        <f>IF(AN204=15,J204,0)</f>
        <v>0</v>
      </c>
      <c r="AL204" s="21">
        <f>IF(AN204=21,J204,0)</f>
        <v>0</v>
      </c>
      <c r="AN204" s="35">
        <v>21</v>
      </c>
      <c r="AO204" s="35">
        <f>G204*1</f>
        <v>0</v>
      </c>
      <c r="AP204" s="35">
        <f>G204*(1-1)</f>
        <v>0</v>
      </c>
      <c r="AQ204" s="32" t="s">
        <v>13</v>
      </c>
      <c r="AV204" s="35">
        <f>AW204+AX204</f>
        <v>0</v>
      </c>
      <c r="AW204" s="35">
        <f>F204*AO204</f>
        <v>0</v>
      </c>
      <c r="AX204" s="35">
        <f>F204*AP204</f>
        <v>0</v>
      </c>
      <c r="AY204" s="36" t="s">
        <v>655</v>
      </c>
      <c r="AZ204" s="36" t="s">
        <v>676</v>
      </c>
      <c r="BA204" s="27" t="s">
        <v>681</v>
      </c>
      <c r="BC204" s="35">
        <f>AW204+AX204</f>
        <v>0</v>
      </c>
      <c r="BD204" s="35">
        <f>G204/(100-BE204)*100</f>
        <v>0</v>
      </c>
      <c r="BE204" s="35">
        <v>0</v>
      </c>
      <c r="BF204" s="35">
        <f>M204</f>
        <v>1.8599999999999998E-2</v>
      </c>
      <c r="BH204" s="21">
        <f>F204*AO204</f>
        <v>0</v>
      </c>
      <c r="BI204" s="21">
        <f>F204*AP204</f>
        <v>0</v>
      </c>
      <c r="BJ204" s="21">
        <f>F204*G204</f>
        <v>0</v>
      </c>
    </row>
    <row r="205" spans="1:62" x14ac:dyDescent="0.25">
      <c r="C205" s="14" t="s">
        <v>151</v>
      </c>
      <c r="D205" s="141" t="s">
        <v>493</v>
      </c>
      <c r="E205" s="142"/>
      <c r="F205" s="142"/>
      <c r="G205" s="142"/>
      <c r="H205" s="142"/>
      <c r="I205" s="142"/>
      <c r="J205" s="142"/>
      <c r="K205" s="142"/>
      <c r="L205" s="142"/>
      <c r="M205" s="142"/>
      <c r="N205" s="142"/>
    </row>
    <row r="206" spans="1:62" x14ac:dyDescent="0.25">
      <c r="A206" s="6" t="s">
        <v>98</v>
      </c>
      <c r="B206" s="6"/>
      <c r="C206" s="6" t="s">
        <v>250</v>
      </c>
      <c r="D206" s="6" t="s">
        <v>494</v>
      </c>
      <c r="E206" s="6" t="s">
        <v>594</v>
      </c>
      <c r="F206" s="21">
        <v>29.7</v>
      </c>
      <c r="G206" s="91"/>
      <c r="H206" s="21">
        <f>F206*AO206</f>
        <v>0</v>
      </c>
      <c r="I206" s="21">
        <f>F206*AP206</f>
        <v>0</v>
      </c>
      <c r="J206" s="21">
        <f>F206*G206</f>
        <v>0</v>
      </c>
      <c r="K206" s="43">
        <f>IF(J305=0,0,J206/J305)</f>
        <v>0</v>
      </c>
      <c r="L206" s="21">
        <v>6.1999999999999998E-3</v>
      </c>
      <c r="M206" s="21">
        <f>F206*L206</f>
        <v>0.18414</v>
      </c>
      <c r="N206" s="32" t="s">
        <v>620</v>
      </c>
      <c r="Z206" s="35">
        <f>IF(AQ206="5",BJ206,0)</f>
        <v>0</v>
      </c>
      <c r="AB206" s="35">
        <f>IF(AQ206="1",BH206,0)</f>
        <v>0</v>
      </c>
      <c r="AC206" s="35">
        <f>IF(AQ206="1",BI206,0)</f>
        <v>0</v>
      </c>
      <c r="AD206" s="35">
        <f>IF(AQ206="7",BH206,0)</f>
        <v>0</v>
      </c>
      <c r="AE206" s="35">
        <f>IF(AQ206="7",BI206,0)</f>
        <v>0</v>
      </c>
      <c r="AF206" s="35">
        <f>IF(AQ206="2",BH206,0)</f>
        <v>0</v>
      </c>
      <c r="AG206" s="35">
        <f>IF(AQ206="2",BI206,0)</f>
        <v>0</v>
      </c>
      <c r="AH206" s="35">
        <f>IF(AQ206="0",BJ206,0)</f>
        <v>0</v>
      </c>
      <c r="AI206" s="27"/>
      <c r="AJ206" s="21">
        <f>IF(AN206=0,J206,0)</f>
        <v>0</v>
      </c>
      <c r="AK206" s="21">
        <f>IF(AN206=15,J206,0)</f>
        <v>0</v>
      </c>
      <c r="AL206" s="21">
        <f>IF(AN206=21,J206,0)</f>
        <v>0</v>
      </c>
      <c r="AN206" s="35">
        <v>21</v>
      </c>
      <c r="AO206" s="35">
        <f>G206*1</f>
        <v>0</v>
      </c>
      <c r="AP206" s="35">
        <f>G206*(1-1)</f>
        <v>0</v>
      </c>
      <c r="AQ206" s="32" t="s">
        <v>13</v>
      </c>
      <c r="AV206" s="35">
        <f>AW206+AX206</f>
        <v>0</v>
      </c>
      <c r="AW206" s="35">
        <f>F206*AO206</f>
        <v>0</v>
      </c>
      <c r="AX206" s="35">
        <f>F206*AP206</f>
        <v>0</v>
      </c>
      <c r="AY206" s="36" t="s">
        <v>655</v>
      </c>
      <c r="AZ206" s="36" t="s">
        <v>676</v>
      </c>
      <c r="BA206" s="27" t="s">
        <v>681</v>
      </c>
      <c r="BC206" s="35">
        <f>AW206+AX206</f>
        <v>0</v>
      </c>
      <c r="BD206" s="35">
        <f>G206/(100-BE206)*100</f>
        <v>0</v>
      </c>
      <c r="BE206" s="35">
        <v>0</v>
      </c>
      <c r="BF206" s="35">
        <f>M206</f>
        <v>0.18414</v>
      </c>
      <c r="BH206" s="21">
        <f>F206*AO206</f>
        <v>0</v>
      </c>
      <c r="BI206" s="21">
        <f>F206*AP206</f>
        <v>0</v>
      </c>
      <c r="BJ206" s="21">
        <f>F206*G206</f>
        <v>0</v>
      </c>
    </row>
    <row r="207" spans="1:62" x14ac:dyDescent="0.25">
      <c r="A207" s="6" t="s">
        <v>99</v>
      </c>
      <c r="B207" s="6"/>
      <c r="C207" s="6" t="s">
        <v>251</v>
      </c>
      <c r="D207" s="6" t="s">
        <v>495</v>
      </c>
      <c r="E207" s="6" t="s">
        <v>595</v>
      </c>
      <c r="F207" s="21">
        <v>34.020000000000003</v>
      </c>
      <c r="G207" s="91"/>
      <c r="H207" s="21">
        <f>F207*AO207</f>
        <v>0</v>
      </c>
      <c r="I207" s="21">
        <f>F207*AP207</f>
        <v>0</v>
      </c>
      <c r="J207" s="21">
        <f>F207*G207</f>
        <v>0</v>
      </c>
      <c r="K207" s="43">
        <f>IF(J305=0,0,J207/J305)</f>
        <v>0</v>
      </c>
      <c r="L207" s="21">
        <v>1E-3</v>
      </c>
      <c r="M207" s="21">
        <f>F207*L207</f>
        <v>3.4020000000000002E-2</v>
      </c>
      <c r="N207" s="32" t="s">
        <v>620</v>
      </c>
      <c r="Z207" s="35">
        <f>IF(AQ207="5",BJ207,0)</f>
        <v>0</v>
      </c>
      <c r="AB207" s="35">
        <f>IF(AQ207="1",BH207,0)</f>
        <v>0</v>
      </c>
      <c r="AC207" s="35">
        <f>IF(AQ207="1",BI207,0)</f>
        <v>0</v>
      </c>
      <c r="AD207" s="35">
        <f>IF(AQ207="7",BH207,0)</f>
        <v>0</v>
      </c>
      <c r="AE207" s="35">
        <f>IF(AQ207="7",BI207,0)</f>
        <v>0</v>
      </c>
      <c r="AF207" s="35">
        <f>IF(AQ207="2",BH207,0)</f>
        <v>0</v>
      </c>
      <c r="AG207" s="35">
        <f>IF(AQ207="2",BI207,0)</f>
        <v>0</v>
      </c>
      <c r="AH207" s="35">
        <f>IF(AQ207="0",BJ207,0)</f>
        <v>0</v>
      </c>
      <c r="AI207" s="27"/>
      <c r="AJ207" s="21">
        <f>IF(AN207=0,J207,0)</f>
        <v>0</v>
      </c>
      <c r="AK207" s="21">
        <f>IF(AN207=15,J207,0)</f>
        <v>0</v>
      </c>
      <c r="AL207" s="21">
        <f>IF(AN207=21,J207,0)</f>
        <v>0</v>
      </c>
      <c r="AN207" s="35">
        <v>21</v>
      </c>
      <c r="AO207" s="35">
        <f>G207*1</f>
        <v>0</v>
      </c>
      <c r="AP207" s="35">
        <f>G207*(1-1)</f>
        <v>0</v>
      </c>
      <c r="AQ207" s="32" t="s">
        <v>13</v>
      </c>
      <c r="AV207" s="35">
        <f>AW207+AX207</f>
        <v>0</v>
      </c>
      <c r="AW207" s="35">
        <f>F207*AO207</f>
        <v>0</v>
      </c>
      <c r="AX207" s="35">
        <f>F207*AP207</f>
        <v>0</v>
      </c>
      <c r="AY207" s="36" t="s">
        <v>655</v>
      </c>
      <c r="AZ207" s="36" t="s">
        <v>676</v>
      </c>
      <c r="BA207" s="27" t="s">
        <v>681</v>
      </c>
      <c r="BC207" s="35">
        <f>AW207+AX207</f>
        <v>0</v>
      </c>
      <c r="BD207" s="35">
        <f>G207/(100-BE207)*100</f>
        <v>0</v>
      </c>
      <c r="BE207" s="35">
        <v>0</v>
      </c>
      <c r="BF207" s="35">
        <f>M207</f>
        <v>3.4020000000000002E-2</v>
      </c>
      <c r="BH207" s="21">
        <f>F207*AO207</f>
        <v>0</v>
      </c>
      <c r="BI207" s="21">
        <f>F207*AP207</f>
        <v>0</v>
      </c>
      <c r="BJ207" s="21">
        <f>F207*G207</f>
        <v>0</v>
      </c>
    </row>
    <row r="208" spans="1:62" x14ac:dyDescent="0.25">
      <c r="C208" s="14" t="s">
        <v>151</v>
      </c>
      <c r="D208" s="141" t="s">
        <v>496</v>
      </c>
      <c r="E208" s="142"/>
      <c r="F208" s="142"/>
      <c r="G208" s="142"/>
      <c r="H208" s="142"/>
      <c r="I208" s="142"/>
      <c r="J208" s="142"/>
      <c r="K208" s="142"/>
      <c r="L208" s="142"/>
      <c r="M208" s="142"/>
      <c r="N208" s="142"/>
    </row>
    <row r="209" spans="1:62" x14ac:dyDescent="0.25">
      <c r="A209" s="4" t="s">
        <v>100</v>
      </c>
      <c r="B209" s="4"/>
      <c r="C209" s="4" t="s">
        <v>252</v>
      </c>
      <c r="D209" s="4" t="s">
        <v>497</v>
      </c>
      <c r="E209" s="4" t="s">
        <v>597</v>
      </c>
      <c r="F209" s="20">
        <v>1</v>
      </c>
      <c r="G209" s="88"/>
      <c r="H209" s="20">
        <f>F209*AO209</f>
        <v>0</v>
      </c>
      <c r="I209" s="20">
        <f>F209*AP209</f>
        <v>0</v>
      </c>
      <c r="J209" s="20">
        <f>F209*G209</f>
        <v>0</v>
      </c>
      <c r="K209" s="41">
        <f>IF(J305=0,0,J209/J305)</f>
        <v>0</v>
      </c>
      <c r="L209" s="20">
        <v>5.543E-2</v>
      </c>
      <c r="M209" s="20">
        <f>F209*L209</f>
        <v>5.543E-2</v>
      </c>
      <c r="N209" s="31" t="s">
        <v>620</v>
      </c>
      <c r="Z209" s="35">
        <f>IF(AQ209="5",BJ209,0)</f>
        <v>0</v>
      </c>
      <c r="AB209" s="35">
        <f>IF(AQ209="1",BH209,0)</f>
        <v>0</v>
      </c>
      <c r="AC209" s="35">
        <f>IF(AQ209="1",BI209,0)</f>
        <v>0</v>
      </c>
      <c r="AD209" s="35">
        <f>IF(AQ209="7",BH209,0)</f>
        <v>0</v>
      </c>
      <c r="AE209" s="35">
        <f>IF(AQ209="7",BI209,0)</f>
        <v>0</v>
      </c>
      <c r="AF209" s="35">
        <f>IF(AQ209="2",BH209,0)</f>
        <v>0</v>
      </c>
      <c r="AG209" s="35">
        <f>IF(AQ209="2",BI209,0)</f>
        <v>0</v>
      </c>
      <c r="AH209" s="35">
        <f>IF(AQ209="0",BJ209,0)</f>
        <v>0</v>
      </c>
      <c r="AI209" s="27"/>
      <c r="AJ209" s="20">
        <f>IF(AN209=0,J209,0)</f>
        <v>0</v>
      </c>
      <c r="AK209" s="20">
        <f>IF(AN209=15,J209,0)</f>
        <v>0</v>
      </c>
      <c r="AL209" s="20">
        <f>IF(AN209=21,J209,0)</f>
        <v>0</v>
      </c>
      <c r="AN209" s="35">
        <v>21</v>
      </c>
      <c r="AO209" s="35">
        <f>G209*0.844465441819772</f>
        <v>0</v>
      </c>
      <c r="AP209" s="35">
        <f>G209*(1-0.844465441819772)</f>
        <v>0</v>
      </c>
      <c r="AQ209" s="31" t="s">
        <v>13</v>
      </c>
      <c r="AV209" s="35">
        <f>AW209+AX209</f>
        <v>0</v>
      </c>
      <c r="AW209" s="35">
        <f>F209*AO209</f>
        <v>0</v>
      </c>
      <c r="AX209" s="35">
        <f>F209*AP209</f>
        <v>0</v>
      </c>
      <c r="AY209" s="36" t="s">
        <v>655</v>
      </c>
      <c r="AZ209" s="36" t="s">
        <v>676</v>
      </c>
      <c r="BA209" s="27" t="s">
        <v>681</v>
      </c>
      <c r="BC209" s="35">
        <f>AW209+AX209</f>
        <v>0</v>
      </c>
      <c r="BD209" s="35">
        <f>G209/(100-BE209)*100</f>
        <v>0</v>
      </c>
      <c r="BE209" s="35">
        <v>0</v>
      </c>
      <c r="BF209" s="35">
        <f>M209</f>
        <v>5.543E-2</v>
      </c>
      <c r="BH209" s="20">
        <f>F209*AO209</f>
        <v>0</v>
      </c>
      <c r="BI209" s="20">
        <f>F209*AP209</f>
        <v>0</v>
      </c>
      <c r="BJ209" s="20">
        <f>F209*G209</f>
        <v>0</v>
      </c>
    </row>
    <row r="210" spans="1:62" x14ac:dyDescent="0.25">
      <c r="D210" s="17" t="s">
        <v>498</v>
      </c>
    </row>
    <row r="211" spans="1:62" x14ac:dyDescent="0.25">
      <c r="A211" s="4" t="s">
        <v>101</v>
      </c>
      <c r="B211" s="4"/>
      <c r="C211" s="4" t="s">
        <v>253</v>
      </c>
      <c r="D211" s="4" t="s">
        <v>499</v>
      </c>
      <c r="E211" s="4" t="s">
        <v>594</v>
      </c>
      <c r="F211" s="20">
        <v>7.2</v>
      </c>
      <c r="G211" s="88"/>
      <c r="H211" s="20">
        <f>F211*AO211</f>
        <v>0</v>
      </c>
      <c r="I211" s="20">
        <f>F211*AP211</f>
        <v>0</v>
      </c>
      <c r="J211" s="20">
        <f>F211*G211</f>
        <v>0</v>
      </c>
      <c r="K211" s="41">
        <f>IF(J305=0,0,J211/J305)</f>
        <v>0</v>
      </c>
      <c r="L211" s="20">
        <v>6.0000000000000002E-5</v>
      </c>
      <c r="M211" s="20">
        <f>F211*L211</f>
        <v>4.3200000000000004E-4</v>
      </c>
      <c r="N211" s="31" t="s">
        <v>620</v>
      </c>
      <c r="Z211" s="35">
        <f>IF(AQ211="5",BJ211,0)</f>
        <v>0</v>
      </c>
      <c r="AB211" s="35">
        <f>IF(AQ211="1",BH211,0)</f>
        <v>0</v>
      </c>
      <c r="AC211" s="35">
        <f>IF(AQ211="1",BI211,0)</f>
        <v>0</v>
      </c>
      <c r="AD211" s="35">
        <f>IF(AQ211="7",BH211,0)</f>
        <v>0</v>
      </c>
      <c r="AE211" s="35">
        <f>IF(AQ211="7",BI211,0)</f>
        <v>0</v>
      </c>
      <c r="AF211" s="35">
        <f>IF(AQ211="2",BH211,0)</f>
        <v>0</v>
      </c>
      <c r="AG211" s="35">
        <f>IF(AQ211="2",BI211,0)</f>
        <v>0</v>
      </c>
      <c r="AH211" s="35">
        <f>IF(AQ211="0",BJ211,0)</f>
        <v>0</v>
      </c>
      <c r="AI211" s="27"/>
      <c r="AJ211" s="20">
        <f>IF(AN211=0,J211,0)</f>
        <v>0</v>
      </c>
      <c r="AK211" s="20">
        <f>IF(AN211=15,J211,0)</f>
        <v>0</v>
      </c>
      <c r="AL211" s="20">
        <f>IF(AN211=21,J211,0)</f>
        <v>0</v>
      </c>
      <c r="AN211" s="35">
        <v>21</v>
      </c>
      <c r="AO211" s="35">
        <f>G211*0.0301865671641791</f>
        <v>0</v>
      </c>
      <c r="AP211" s="35">
        <f>G211*(1-0.0301865671641791)</f>
        <v>0</v>
      </c>
      <c r="AQ211" s="31" t="s">
        <v>13</v>
      </c>
      <c r="AV211" s="35">
        <f>AW211+AX211</f>
        <v>0</v>
      </c>
      <c r="AW211" s="35">
        <f>F211*AO211</f>
        <v>0</v>
      </c>
      <c r="AX211" s="35">
        <f>F211*AP211</f>
        <v>0</v>
      </c>
      <c r="AY211" s="36" t="s">
        <v>655</v>
      </c>
      <c r="AZ211" s="36" t="s">
        <v>676</v>
      </c>
      <c r="BA211" s="27" t="s">
        <v>681</v>
      </c>
      <c r="BC211" s="35">
        <f>AW211+AX211</f>
        <v>0</v>
      </c>
      <c r="BD211" s="35">
        <f>G211/(100-BE211)*100</f>
        <v>0</v>
      </c>
      <c r="BE211" s="35">
        <v>0</v>
      </c>
      <c r="BF211" s="35">
        <f>M211</f>
        <v>4.3200000000000004E-4</v>
      </c>
      <c r="BH211" s="20">
        <f>F211*AO211</f>
        <v>0</v>
      </c>
      <c r="BI211" s="20">
        <f>F211*AP211</f>
        <v>0</v>
      </c>
      <c r="BJ211" s="20">
        <f>F211*G211</f>
        <v>0</v>
      </c>
    </row>
    <row r="212" spans="1:62" x14ac:dyDescent="0.25">
      <c r="A212" s="4" t="s">
        <v>102</v>
      </c>
      <c r="B212" s="4"/>
      <c r="C212" s="4" t="s">
        <v>254</v>
      </c>
      <c r="D212" s="4" t="s">
        <v>500</v>
      </c>
      <c r="E212" s="4" t="s">
        <v>597</v>
      </c>
      <c r="F212" s="20">
        <v>1</v>
      </c>
      <c r="G212" s="88"/>
      <c r="H212" s="20">
        <f>F212*AO212</f>
        <v>0</v>
      </c>
      <c r="I212" s="20">
        <f>F212*AP212</f>
        <v>0</v>
      </c>
      <c r="J212" s="20">
        <f>F212*G212</f>
        <v>0</v>
      </c>
      <c r="K212" s="41">
        <f>IF(J305=0,0,J212/J305)</f>
        <v>0</v>
      </c>
      <c r="L212" s="20">
        <v>5.747E-2</v>
      </c>
      <c r="M212" s="20">
        <f>F212*L212</f>
        <v>5.747E-2</v>
      </c>
      <c r="N212" s="31" t="s">
        <v>620</v>
      </c>
      <c r="Z212" s="35">
        <f>IF(AQ212="5",BJ212,0)</f>
        <v>0</v>
      </c>
      <c r="AB212" s="35">
        <f>IF(AQ212="1",BH212,0)</f>
        <v>0</v>
      </c>
      <c r="AC212" s="35">
        <f>IF(AQ212="1",BI212,0)</f>
        <v>0</v>
      </c>
      <c r="AD212" s="35">
        <f>IF(AQ212="7",BH212,0)</f>
        <v>0</v>
      </c>
      <c r="AE212" s="35">
        <f>IF(AQ212="7",BI212,0)</f>
        <v>0</v>
      </c>
      <c r="AF212" s="35">
        <f>IF(AQ212="2",BH212,0)</f>
        <v>0</v>
      </c>
      <c r="AG212" s="35">
        <f>IF(AQ212="2",BI212,0)</f>
        <v>0</v>
      </c>
      <c r="AH212" s="35">
        <f>IF(AQ212="0",BJ212,0)</f>
        <v>0</v>
      </c>
      <c r="AI212" s="27"/>
      <c r="AJ212" s="20">
        <f>IF(AN212=0,J212,0)</f>
        <v>0</v>
      </c>
      <c r="AK212" s="20">
        <f>IF(AN212=15,J212,0)</f>
        <v>0</v>
      </c>
      <c r="AL212" s="20">
        <f>IF(AN212=21,J212,0)</f>
        <v>0</v>
      </c>
      <c r="AN212" s="35">
        <v>21</v>
      </c>
      <c r="AO212" s="35">
        <f>G212*0.837052719665272</f>
        <v>0</v>
      </c>
      <c r="AP212" s="35">
        <f>G212*(1-0.837052719665272)</f>
        <v>0</v>
      </c>
      <c r="AQ212" s="31" t="s">
        <v>13</v>
      </c>
      <c r="AV212" s="35">
        <f>AW212+AX212</f>
        <v>0</v>
      </c>
      <c r="AW212" s="35">
        <f>F212*AO212</f>
        <v>0</v>
      </c>
      <c r="AX212" s="35">
        <f>F212*AP212</f>
        <v>0</v>
      </c>
      <c r="AY212" s="36" t="s">
        <v>655</v>
      </c>
      <c r="AZ212" s="36" t="s">
        <v>676</v>
      </c>
      <c r="BA212" s="27" t="s">
        <v>681</v>
      </c>
      <c r="BC212" s="35">
        <f>AW212+AX212</f>
        <v>0</v>
      </c>
      <c r="BD212" s="35">
        <f>G212/(100-BE212)*100</f>
        <v>0</v>
      </c>
      <c r="BE212" s="35">
        <v>0</v>
      </c>
      <c r="BF212" s="35">
        <f>M212</f>
        <v>5.747E-2</v>
      </c>
      <c r="BH212" s="20">
        <f>F212*AO212</f>
        <v>0</v>
      </c>
      <c r="BI212" s="20">
        <f>F212*AP212</f>
        <v>0</v>
      </c>
      <c r="BJ212" s="20">
        <f>F212*G212</f>
        <v>0</v>
      </c>
    </row>
    <row r="213" spans="1:62" x14ac:dyDescent="0.25">
      <c r="D213" s="17" t="s">
        <v>498</v>
      </c>
    </row>
    <row r="214" spans="1:62" x14ac:dyDescent="0.25">
      <c r="A214" s="4" t="s">
        <v>103</v>
      </c>
      <c r="B214" s="4"/>
      <c r="C214" s="4" t="s">
        <v>255</v>
      </c>
      <c r="D214" s="4" t="s">
        <v>501</v>
      </c>
      <c r="E214" s="4" t="s">
        <v>594</v>
      </c>
      <c r="F214" s="20">
        <v>7.2</v>
      </c>
      <c r="G214" s="88"/>
      <c r="H214" s="20">
        <f>F214*AO214</f>
        <v>0</v>
      </c>
      <c r="I214" s="20">
        <f>F214*AP214</f>
        <v>0</v>
      </c>
      <c r="J214" s="20">
        <f>F214*G214</f>
        <v>0</v>
      </c>
      <c r="K214" s="41">
        <f>IF(J305=0,0,J214/J305)</f>
        <v>0</v>
      </c>
      <c r="L214" s="20">
        <v>1.2E-4</v>
      </c>
      <c r="M214" s="20">
        <f>F214*L214</f>
        <v>8.6400000000000008E-4</v>
      </c>
      <c r="N214" s="31" t="s">
        <v>620</v>
      </c>
      <c r="Z214" s="35">
        <f>IF(AQ214="5",BJ214,0)</f>
        <v>0</v>
      </c>
      <c r="AB214" s="35">
        <f>IF(AQ214="1",BH214,0)</f>
        <v>0</v>
      </c>
      <c r="AC214" s="35">
        <f>IF(AQ214="1",BI214,0)</f>
        <v>0</v>
      </c>
      <c r="AD214" s="35">
        <f>IF(AQ214="7",BH214,0)</f>
        <v>0</v>
      </c>
      <c r="AE214" s="35">
        <f>IF(AQ214="7",BI214,0)</f>
        <v>0</v>
      </c>
      <c r="AF214" s="35">
        <f>IF(AQ214="2",BH214,0)</f>
        <v>0</v>
      </c>
      <c r="AG214" s="35">
        <f>IF(AQ214="2",BI214,0)</f>
        <v>0</v>
      </c>
      <c r="AH214" s="35">
        <f>IF(AQ214="0",BJ214,0)</f>
        <v>0</v>
      </c>
      <c r="AI214" s="27"/>
      <c r="AJ214" s="20">
        <f>IF(AN214=0,J214,0)</f>
        <v>0</v>
      </c>
      <c r="AK214" s="20">
        <f>IF(AN214=15,J214,0)</f>
        <v>0</v>
      </c>
      <c r="AL214" s="20">
        <f>IF(AN214=21,J214,0)</f>
        <v>0</v>
      </c>
      <c r="AN214" s="35">
        <v>21</v>
      </c>
      <c r="AO214" s="35">
        <f>G214*0.098</f>
        <v>0</v>
      </c>
      <c r="AP214" s="35">
        <f>G214*(1-0.098)</f>
        <v>0</v>
      </c>
      <c r="AQ214" s="31" t="s">
        <v>13</v>
      </c>
      <c r="AV214" s="35">
        <f>AW214+AX214</f>
        <v>0</v>
      </c>
      <c r="AW214" s="35">
        <f>F214*AO214</f>
        <v>0</v>
      </c>
      <c r="AX214" s="35">
        <f>F214*AP214</f>
        <v>0</v>
      </c>
      <c r="AY214" s="36" t="s">
        <v>655</v>
      </c>
      <c r="AZ214" s="36" t="s">
        <v>676</v>
      </c>
      <c r="BA214" s="27" t="s">
        <v>681</v>
      </c>
      <c r="BC214" s="35">
        <f>AW214+AX214</f>
        <v>0</v>
      </c>
      <c r="BD214" s="35">
        <f>G214/(100-BE214)*100</f>
        <v>0</v>
      </c>
      <c r="BE214" s="35">
        <v>0</v>
      </c>
      <c r="BF214" s="35">
        <f>M214</f>
        <v>8.6400000000000008E-4</v>
      </c>
      <c r="BH214" s="20">
        <f>F214*AO214</f>
        <v>0</v>
      </c>
      <c r="BI214" s="20">
        <f>F214*AP214</f>
        <v>0</v>
      </c>
      <c r="BJ214" s="20">
        <f>F214*G214</f>
        <v>0</v>
      </c>
    </row>
    <row r="215" spans="1:62" x14ac:dyDescent="0.25">
      <c r="A215" s="6" t="s">
        <v>104</v>
      </c>
      <c r="B215" s="6"/>
      <c r="C215" s="6" t="s">
        <v>256</v>
      </c>
      <c r="D215" s="6" t="s">
        <v>502</v>
      </c>
      <c r="E215" s="6" t="s">
        <v>597</v>
      </c>
      <c r="F215" s="21">
        <v>1</v>
      </c>
      <c r="G215" s="91"/>
      <c r="H215" s="21">
        <f>F215*AO215</f>
        <v>0</v>
      </c>
      <c r="I215" s="21">
        <f>F215*AP215</f>
        <v>0</v>
      </c>
      <c r="J215" s="21">
        <f>F215*G215</f>
        <v>0</v>
      </c>
      <c r="K215" s="43">
        <f>IF(J305=0,0,J215/J305)</f>
        <v>0</v>
      </c>
      <c r="L215" s="21">
        <v>2.5000000000000001E-2</v>
      </c>
      <c r="M215" s="21">
        <f>F215*L215</f>
        <v>2.5000000000000001E-2</v>
      </c>
      <c r="N215" s="32" t="s">
        <v>620</v>
      </c>
      <c r="Z215" s="35">
        <f>IF(AQ215="5",BJ215,0)</f>
        <v>0</v>
      </c>
      <c r="AB215" s="35">
        <f>IF(AQ215="1",BH215,0)</f>
        <v>0</v>
      </c>
      <c r="AC215" s="35">
        <f>IF(AQ215="1",BI215,0)</f>
        <v>0</v>
      </c>
      <c r="AD215" s="35">
        <f>IF(AQ215="7",BH215,0)</f>
        <v>0</v>
      </c>
      <c r="AE215" s="35">
        <f>IF(AQ215="7",BI215,0)</f>
        <v>0</v>
      </c>
      <c r="AF215" s="35">
        <f>IF(AQ215="2",BH215,0)</f>
        <v>0</v>
      </c>
      <c r="AG215" s="35">
        <f>IF(AQ215="2",BI215,0)</f>
        <v>0</v>
      </c>
      <c r="AH215" s="35">
        <f>IF(AQ215="0",BJ215,0)</f>
        <v>0</v>
      </c>
      <c r="AI215" s="27"/>
      <c r="AJ215" s="21">
        <f>IF(AN215=0,J215,0)</f>
        <v>0</v>
      </c>
      <c r="AK215" s="21">
        <f>IF(AN215=15,J215,0)</f>
        <v>0</v>
      </c>
      <c r="AL215" s="21">
        <f>IF(AN215=21,J215,0)</f>
        <v>0</v>
      </c>
      <c r="AN215" s="35">
        <v>21</v>
      </c>
      <c r="AO215" s="35">
        <f>G215*1</f>
        <v>0</v>
      </c>
      <c r="AP215" s="35">
        <f>G215*(1-1)</f>
        <v>0</v>
      </c>
      <c r="AQ215" s="32" t="s">
        <v>13</v>
      </c>
      <c r="AV215" s="35">
        <f>AW215+AX215</f>
        <v>0</v>
      </c>
      <c r="AW215" s="35">
        <f>F215*AO215</f>
        <v>0</v>
      </c>
      <c r="AX215" s="35">
        <f>F215*AP215</f>
        <v>0</v>
      </c>
      <c r="AY215" s="36" t="s">
        <v>655</v>
      </c>
      <c r="AZ215" s="36" t="s">
        <v>676</v>
      </c>
      <c r="BA215" s="27" t="s">
        <v>681</v>
      </c>
      <c r="BC215" s="35">
        <f>AW215+AX215</f>
        <v>0</v>
      </c>
      <c r="BD215" s="35">
        <f>G215/(100-BE215)*100</f>
        <v>0</v>
      </c>
      <c r="BE215" s="35">
        <v>0</v>
      </c>
      <c r="BF215" s="35">
        <f>M215</f>
        <v>2.5000000000000001E-2</v>
      </c>
      <c r="BH215" s="21">
        <f>F215*AO215</f>
        <v>0</v>
      </c>
      <c r="BI215" s="21">
        <f>F215*AP215</f>
        <v>0</v>
      </c>
      <c r="BJ215" s="21">
        <f>F215*G215</f>
        <v>0</v>
      </c>
    </row>
    <row r="216" spans="1:62" x14ac:dyDescent="0.25">
      <c r="C216" s="14" t="s">
        <v>151</v>
      </c>
      <c r="D216" s="141" t="s">
        <v>503</v>
      </c>
      <c r="E216" s="142"/>
      <c r="F216" s="142"/>
      <c r="G216" s="142"/>
      <c r="H216" s="142"/>
      <c r="I216" s="142"/>
      <c r="J216" s="142"/>
      <c r="K216" s="142"/>
      <c r="L216" s="142"/>
      <c r="M216" s="142"/>
      <c r="N216" s="142"/>
    </row>
    <row r="217" spans="1:62" x14ac:dyDescent="0.25">
      <c r="A217" s="4" t="s">
        <v>105</v>
      </c>
      <c r="B217" s="4"/>
      <c r="C217" s="4" t="s">
        <v>257</v>
      </c>
      <c r="D217" s="4" t="s">
        <v>504</v>
      </c>
      <c r="E217" s="4" t="s">
        <v>595</v>
      </c>
      <c r="F217" s="20">
        <v>430</v>
      </c>
      <c r="G217" s="88"/>
      <c r="H217" s="20">
        <f>F217*AO217</f>
        <v>0</v>
      </c>
      <c r="I217" s="20">
        <f>F217*AP217</f>
        <v>0</v>
      </c>
      <c r="J217" s="20">
        <f>F217*G217</f>
        <v>0</v>
      </c>
      <c r="K217" s="41">
        <f>IF(J305=0,0,J217/J305)</f>
        <v>0</v>
      </c>
      <c r="L217" s="20">
        <v>6.0000000000000002E-5</v>
      </c>
      <c r="M217" s="20">
        <f>F217*L217</f>
        <v>2.58E-2</v>
      </c>
      <c r="N217" s="31" t="s">
        <v>620</v>
      </c>
      <c r="Z217" s="35">
        <f>IF(AQ217="5",BJ217,0)</f>
        <v>0</v>
      </c>
      <c r="AB217" s="35">
        <f>IF(AQ217="1",BH217,0)</f>
        <v>0</v>
      </c>
      <c r="AC217" s="35">
        <f>IF(AQ217="1",BI217,0)</f>
        <v>0</v>
      </c>
      <c r="AD217" s="35">
        <f>IF(AQ217="7",BH217,0)</f>
        <v>0</v>
      </c>
      <c r="AE217" s="35">
        <f>IF(AQ217="7",BI217,0)</f>
        <v>0</v>
      </c>
      <c r="AF217" s="35">
        <f>IF(AQ217="2",BH217,0)</f>
        <v>0</v>
      </c>
      <c r="AG217" s="35">
        <f>IF(AQ217="2",BI217,0)</f>
        <v>0</v>
      </c>
      <c r="AH217" s="35">
        <f>IF(AQ217="0",BJ217,0)</f>
        <v>0</v>
      </c>
      <c r="AI217" s="27"/>
      <c r="AJ217" s="20">
        <f>IF(AN217=0,J217,0)</f>
        <v>0</v>
      </c>
      <c r="AK217" s="20">
        <f>IF(AN217=15,J217,0)</f>
        <v>0</v>
      </c>
      <c r="AL217" s="20">
        <f>IF(AN217=21,J217,0)</f>
        <v>0</v>
      </c>
      <c r="AN217" s="35">
        <v>21</v>
      </c>
      <c r="AO217" s="35">
        <f>G217*0.0716546907190593</f>
        <v>0</v>
      </c>
      <c r="AP217" s="35">
        <f>G217*(1-0.0716546907190593)</f>
        <v>0</v>
      </c>
      <c r="AQ217" s="31" t="s">
        <v>13</v>
      </c>
      <c r="AV217" s="35">
        <f>AW217+AX217</f>
        <v>0</v>
      </c>
      <c r="AW217" s="35">
        <f>F217*AO217</f>
        <v>0</v>
      </c>
      <c r="AX217" s="35">
        <f>F217*AP217</f>
        <v>0</v>
      </c>
      <c r="AY217" s="36" t="s">
        <v>655</v>
      </c>
      <c r="AZ217" s="36" t="s">
        <v>676</v>
      </c>
      <c r="BA217" s="27" t="s">
        <v>681</v>
      </c>
      <c r="BC217" s="35">
        <f>AW217+AX217</f>
        <v>0</v>
      </c>
      <c r="BD217" s="35">
        <f>G217/(100-BE217)*100</f>
        <v>0</v>
      </c>
      <c r="BE217" s="35">
        <v>0</v>
      </c>
      <c r="BF217" s="35">
        <f>M217</f>
        <v>2.58E-2</v>
      </c>
      <c r="BH217" s="20">
        <f>F217*AO217</f>
        <v>0</v>
      </c>
      <c r="BI217" s="20">
        <f>F217*AP217</f>
        <v>0</v>
      </c>
      <c r="BJ217" s="20">
        <f>F217*G217</f>
        <v>0</v>
      </c>
    </row>
    <row r="218" spans="1:62" x14ac:dyDescent="0.25">
      <c r="A218" s="4" t="s">
        <v>106</v>
      </c>
      <c r="B218" s="4"/>
      <c r="C218" s="4" t="s">
        <v>258</v>
      </c>
      <c r="D218" s="4" t="s">
        <v>505</v>
      </c>
      <c r="E218" s="4" t="s">
        <v>595</v>
      </c>
      <c r="F218" s="20">
        <v>250</v>
      </c>
      <c r="G218" s="88"/>
      <c r="H218" s="20">
        <f>F218*AO218</f>
        <v>0</v>
      </c>
      <c r="I218" s="20">
        <f>F218*AP218</f>
        <v>0</v>
      </c>
      <c r="J218" s="20">
        <f>F218*G218</f>
        <v>0</v>
      </c>
      <c r="K218" s="41">
        <f>IF(J305=0,0,J218/J305)</f>
        <v>0</v>
      </c>
      <c r="L218" s="20">
        <v>6.0000000000000002E-5</v>
      </c>
      <c r="M218" s="20">
        <f>F218*L218</f>
        <v>1.5000000000000001E-2</v>
      </c>
      <c r="N218" s="31" t="s">
        <v>620</v>
      </c>
      <c r="Z218" s="35">
        <f>IF(AQ218="5",BJ218,0)</f>
        <v>0</v>
      </c>
      <c r="AB218" s="35">
        <f>IF(AQ218="1",BH218,0)</f>
        <v>0</v>
      </c>
      <c r="AC218" s="35">
        <f>IF(AQ218="1",BI218,0)</f>
        <v>0</v>
      </c>
      <c r="AD218" s="35">
        <f>IF(AQ218="7",BH218,0)</f>
        <v>0</v>
      </c>
      <c r="AE218" s="35">
        <f>IF(AQ218="7",BI218,0)</f>
        <v>0</v>
      </c>
      <c r="AF218" s="35">
        <f>IF(AQ218="2",BH218,0)</f>
        <v>0</v>
      </c>
      <c r="AG218" s="35">
        <f>IF(AQ218="2",BI218,0)</f>
        <v>0</v>
      </c>
      <c r="AH218" s="35">
        <f>IF(AQ218="0",BJ218,0)</f>
        <v>0</v>
      </c>
      <c r="AI218" s="27"/>
      <c r="AJ218" s="20">
        <f>IF(AN218=0,J218,0)</f>
        <v>0</v>
      </c>
      <c r="AK218" s="20">
        <f>IF(AN218=15,J218,0)</f>
        <v>0</v>
      </c>
      <c r="AL218" s="20">
        <f>IF(AN218=21,J218,0)</f>
        <v>0</v>
      </c>
      <c r="AN218" s="35">
        <v>21</v>
      </c>
      <c r="AO218" s="35">
        <f>G218*0.0798606271777004</f>
        <v>0</v>
      </c>
      <c r="AP218" s="35">
        <f>G218*(1-0.0798606271777004)</f>
        <v>0</v>
      </c>
      <c r="AQ218" s="31" t="s">
        <v>13</v>
      </c>
      <c r="AV218" s="35">
        <f>AW218+AX218</f>
        <v>0</v>
      </c>
      <c r="AW218" s="35">
        <f>F218*AO218</f>
        <v>0</v>
      </c>
      <c r="AX218" s="35">
        <f>F218*AP218</f>
        <v>0</v>
      </c>
      <c r="AY218" s="36" t="s">
        <v>655</v>
      </c>
      <c r="AZ218" s="36" t="s">
        <v>676</v>
      </c>
      <c r="BA218" s="27" t="s">
        <v>681</v>
      </c>
      <c r="BC218" s="35">
        <f>AW218+AX218</f>
        <v>0</v>
      </c>
      <c r="BD218" s="35">
        <f>G218/(100-BE218)*100</f>
        <v>0</v>
      </c>
      <c r="BE218" s="35">
        <v>0</v>
      </c>
      <c r="BF218" s="35">
        <f>M218</f>
        <v>1.5000000000000001E-2</v>
      </c>
      <c r="BH218" s="20">
        <f>F218*AO218</f>
        <v>0</v>
      </c>
      <c r="BI218" s="20">
        <f>F218*AP218</f>
        <v>0</v>
      </c>
      <c r="BJ218" s="20">
        <f>F218*G218</f>
        <v>0</v>
      </c>
    </row>
    <row r="219" spans="1:62" x14ac:dyDescent="0.25">
      <c r="A219" s="4" t="s">
        <v>107</v>
      </c>
      <c r="B219" s="4"/>
      <c r="C219" s="4" t="s">
        <v>259</v>
      </c>
      <c r="D219" s="4" t="s">
        <v>506</v>
      </c>
      <c r="E219" s="4" t="s">
        <v>595</v>
      </c>
      <c r="F219" s="20">
        <v>500</v>
      </c>
      <c r="G219" s="88"/>
      <c r="H219" s="20">
        <f>F219*AO219</f>
        <v>0</v>
      </c>
      <c r="I219" s="20">
        <f>F219*AP219</f>
        <v>0</v>
      </c>
      <c r="J219" s="20">
        <f>F219*G219</f>
        <v>0</v>
      </c>
      <c r="K219" s="41">
        <f>IF(J305=0,0,J219/J305)</f>
        <v>0</v>
      </c>
      <c r="L219" s="20">
        <v>6.0000000000000002E-5</v>
      </c>
      <c r="M219" s="20">
        <f>F219*L219</f>
        <v>3.0000000000000002E-2</v>
      </c>
      <c r="N219" s="31" t="s">
        <v>620</v>
      </c>
      <c r="Z219" s="35">
        <f>IF(AQ219="5",BJ219,0)</f>
        <v>0</v>
      </c>
      <c r="AB219" s="35">
        <f>IF(AQ219="1",BH219,0)</f>
        <v>0</v>
      </c>
      <c r="AC219" s="35">
        <f>IF(AQ219="1",BI219,0)</f>
        <v>0</v>
      </c>
      <c r="AD219" s="35">
        <f>IF(AQ219="7",BH219,0)</f>
        <v>0</v>
      </c>
      <c r="AE219" s="35">
        <f>IF(AQ219="7",BI219,0)</f>
        <v>0</v>
      </c>
      <c r="AF219" s="35">
        <f>IF(AQ219="2",BH219,0)</f>
        <v>0</v>
      </c>
      <c r="AG219" s="35">
        <f>IF(AQ219="2",BI219,0)</f>
        <v>0</v>
      </c>
      <c r="AH219" s="35">
        <f>IF(AQ219="0",BJ219,0)</f>
        <v>0</v>
      </c>
      <c r="AI219" s="27"/>
      <c r="AJ219" s="20">
        <f>IF(AN219=0,J219,0)</f>
        <v>0</v>
      </c>
      <c r="AK219" s="20">
        <f>IF(AN219=15,J219,0)</f>
        <v>0</v>
      </c>
      <c r="AL219" s="20">
        <f>IF(AN219=21,J219,0)</f>
        <v>0</v>
      </c>
      <c r="AN219" s="35">
        <v>21</v>
      </c>
      <c r="AO219" s="35">
        <f>G219*0.0976415094339623</f>
        <v>0</v>
      </c>
      <c r="AP219" s="35">
        <f>G219*(1-0.0976415094339623)</f>
        <v>0</v>
      </c>
      <c r="AQ219" s="31" t="s">
        <v>13</v>
      </c>
      <c r="AV219" s="35">
        <f>AW219+AX219</f>
        <v>0</v>
      </c>
      <c r="AW219" s="35">
        <f>F219*AO219</f>
        <v>0</v>
      </c>
      <c r="AX219" s="35">
        <f>F219*AP219</f>
        <v>0</v>
      </c>
      <c r="AY219" s="36" t="s">
        <v>655</v>
      </c>
      <c r="AZ219" s="36" t="s">
        <v>676</v>
      </c>
      <c r="BA219" s="27" t="s">
        <v>681</v>
      </c>
      <c r="BC219" s="35">
        <f>AW219+AX219</f>
        <v>0</v>
      </c>
      <c r="BD219" s="35">
        <f>G219/(100-BE219)*100</f>
        <v>0</v>
      </c>
      <c r="BE219" s="35">
        <v>0</v>
      </c>
      <c r="BF219" s="35">
        <f>M219</f>
        <v>3.0000000000000002E-2</v>
      </c>
      <c r="BH219" s="20">
        <f>F219*AO219</f>
        <v>0</v>
      </c>
      <c r="BI219" s="20">
        <f>F219*AP219</f>
        <v>0</v>
      </c>
      <c r="BJ219" s="20">
        <f>F219*G219</f>
        <v>0</v>
      </c>
    </row>
    <row r="220" spans="1:62" x14ac:dyDescent="0.25">
      <c r="A220" s="4" t="s">
        <v>108</v>
      </c>
      <c r="B220" s="4"/>
      <c r="C220" s="4" t="s">
        <v>260</v>
      </c>
      <c r="D220" s="4" t="s">
        <v>507</v>
      </c>
      <c r="E220" s="4" t="s">
        <v>595</v>
      </c>
      <c r="F220" s="20">
        <v>1841.472</v>
      </c>
      <c r="G220" s="88"/>
      <c r="H220" s="20">
        <f>F220*AO220</f>
        <v>0</v>
      </c>
      <c r="I220" s="20">
        <f>F220*AP220</f>
        <v>0</v>
      </c>
      <c r="J220" s="20">
        <f>F220*G220</f>
        <v>0</v>
      </c>
      <c r="K220" s="41">
        <f>IF(J305=0,0,J220/J305)</f>
        <v>0</v>
      </c>
      <c r="L220" s="20">
        <v>5.0000000000000002E-5</v>
      </c>
      <c r="M220" s="20">
        <f>F220*L220</f>
        <v>9.2073600000000005E-2</v>
      </c>
      <c r="N220" s="31" t="s">
        <v>620</v>
      </c>
      <c r="Z220" s="35">
        <f>IF(AQ220="5",BJ220,0)</f>
        <v>0</v>
      </c>
      <c r="AB220" s="35">
        <f>IF(AQ220="1",BH220,0)</f>
        <v>0</v>
      </c>
      <c r="AC220" s="35">
        <f>IF(AQ220="1",BI220,0)</f>
        <v>0</v>
      </c>
      <c r="AD220" s="35">
        <f>IF(AQ220="7",BH220,0)</f>
        <v>0</v>
      </c>
      <c r="AE220" s="35">
        <f>IF(AQ220="7",BI220,0)</f>
        <v>0</v>
      </c>
      <c r="AF220" s="35">
        <f>IF(AQ220="2",BH220,0)</f>
        <v>0</v>
      </c>
      <c r="AG220" s="35">
        <f>IF(AQ220="2",BI220,0)</f>
        <v>0</v>
      </c>
      <c r="AH220" s="35">
        <f>IF(AQ220="0",BJ220,0)</f>
        <v>0</v>
      </c>
      <c r="AI220" s="27"/>
      <c r="AJ220" s="20">
        <f>IF(AN220=0,J220,0)</f>
        <v>0</v>
      </c>
      <c r="AK220" s="20">
        <f>IF(AN220=15,J220,0)</f>
        <v>0</v>
      </c>
      <c r="AL220" s="20">
        <f>IF(AN220=21,J220,0)</f>
        <v>0</v>
      </c>
      <c r="AN220" s="35">
        <v>21</v>
      </c>
      <c r="AO220" s="35">
        <f>G220*0.146238001113731</f>
        <v>0</v>
      </c>
      <c r="AP220" s="35">
        <f>G220*(1-0.146238001113731)</f>
        <v>0</v>
      </c>
      <c r="AQ220" s="31" t="s">
        <v>13</v>
      </c>
      <c r="AV220" s="35">
        <f>AW220+AX220</f>
        <v>0</v>
      </c>
      <c r="AW220" s="35">
        <f>F220*AO220</f>
        <v>0</v>
      </c>
      <c r="AX220" s="35">
        <f>F220*AP220</f>
        <v>0</v>
      </c>
      <c r="AY220" s="36" t="s">
        <v>655</v>
      </c>
      <c r="AZ220" s="36" t="s">
        <v>676</v>
      </c>
      <c r="BA220" s="27" t="s">
        <v>681</v>
      </c>
      <c r="BC220" s="35">
        <f>AW220+AX220</f>
        <v>0</v>
      </c>
      <c r="BD220" s="35">
        <f>G220/(100-BE220)*100</f>
        <v>0</v>
      </c>
      <c r="BE220" s="35">
        <v>0</v>
      </c>
      <c r="BF220" s="35">
        <f>M220</f>
        <v>9.2073600000000005E-2</v>
      </c>
      <c r="BH220" s="20">
        <f>F220*AO220</f>
        <v>0</v>
      </c>
      <c r="BI220" s="20">
        <f>F220*AP220</f>
        <v>0</v>
      </c>
      <c r="BJ220" s="20">
        <f>F220*G220</f>
        <v>0</v>
      </c>
    </row>
    <row r="221" spans="1:62" x14ac:dyDescent="0.25">
      <c r="D221" s="17" t="s">
        <v>508</v>
      </c>
    </row>
    <row r="222" spans="1:62" x14ac:dyDescent="0.25">
      <c r="A222" s="4" t="s">
        <v>109</v>
      </c>
      <c r="B222" s="4"/>
      <c r="C222" s="4" t="s">
        <v>261</v>
      </c>
      <c r="D222" s="4" t="s">
        <v>509</v>
      </c>
      <c r="E222" s="4" t="s">
        <v>595</v>
      </c>
      <c r="F222" s="20">
        <v>312.89999999999998</v>
      </c>
      <c r="G222" s="88"/>
      <c r="H222" s="20">
        <f>F222*AO222</f>
        <v>0</v>
      </c>
      <c r="I222" s="20">
        <f>F222*AP222</f>
        <v>0</v>
      </c>
      <c r="J222" s="20">
        <f>F222*G222</f>
        <v>0</v>
      </c>
      <c r="K222" s="41">
        <f>IF(J305=0,0,J222/J305)</f>
        <v>0</v>
      </c>
      <c r="L222" s="20">
        <v>5.0000000000000002E-5</v>
      </c>
      <c r="M222" s="20">
        <f>F222*L222</f>
        <v>1.5644999999999999E-2</v>
      </c>
      <c r="N222" s="31" t="s">
        <v>620</v>
      </c>
      <c r="Z222" s="35">
        <f>IF(AQ222="5",BJ222,0)</f>
        <v>0</v>
      </c>
      <c r="AB222" s="35">
        <f>IF(AQ222="1",BH222,0)</f>
        <v>0</v>
      </c>
      <c r="AC222" s="35">
        <f>IF(AQ222="1",BI222,0)</f>
        <v>0</v>
      </c>
      <c r="AD222" s="35">
        <f>IF(AQ222="7",BH222,0)</f>
        <v>0</v>
      </c>
      <c r="AE222" s="35">
        <f>IF(AQ222="7",BI222,0)</f>
        <v>0</v>
      </c>
      <c r="AF222" s="35">
        <f>IF(AQ222="2",BH222,0)</f>
        <v>0</v>
      </c>
      <c r="AG222" s="35">
        <f>IF(AQ222="2",BI222,0)</f>
        <v>0</v>
      </c>
      <c r="AH222" s="35">
        <f>IF(AQ222="0",BJ222,0)</f>
        <v>0</v>
      </c>
      <c r="AI222" s="27"/>
      <c r="AJ222" s="20">
        <f>IF(AN222=0,J222,0)</f>
        <v>0</v>
      </c>
      <c r="AK222" s="20">
        <f>IF(AN222=15,J222,0)</f>
        <v>0</v>
      </c>
      <c r="AL222" s="20">
        <f>IF(AN222=21,J222,0)</f>
        <v>0</v>
      </c>
      <c r="AN222" s="35">
        <v>21</v>
      </c>
      <c r="AO222" s="35">
        <f>G222*0.195774647887324</f>
        <v>0</v>
      </c>
      <c r="AP222" s="35">
        <f>G222*(1-0.195774647887324)</f>
        <v>0</v>
      </c>
      <c r="AQ222" s="31" t="s">
        <v>13</v>
      </c>
      <c r="AV222" s="35">
        <f>AW222+AX222</f>
        <v>0</v>
      </c>
      <c r="AW222" s="35">
        <f>F222*AO222</f>
        <v>0</v>
      </c>
      <c r="AX222" s="35">
        <f>F222*AP222</f>
        <v>0</v>
      </c>
      <c r="AY222" s="36" t="s">
        <v>655</v>
      </c>
      <c r="AZ222" s="36" t="s">
        <v>676</v>
      </c>
      <c r="BA222" s="27" t="s">
        <v>681</v>
      </c>
      <c r="BC222" s="35">
        <f>AW222+AX222</f>
        <v>0</v>
      </c>
      <c r="BD222" s="35">
        <f>G222/(100-BE222)*100</f>
        <v>0</v>
      </c>
      <c r="BE222" s="35">
        <v>0</v>
      </c>
      <c r="BF222" s="35">
        <f>M222</f>
        <v>1.5644999999999999E-2</v>
      </c>
      <c r="BH222" s="20">
        <f>F222*AO222</f>
        <v>0</v>
      </c>
      <c r="BI222" s="20">
        <f>F222*AP222</f>
        <v>0</v>
      </c>
      <c r="BJ222" s="20">
        <f>F222*G222</f>
        <v>0</v>
      </c>
    </row>
    <row r="223" spans="1:62" x14ac:dyDescent="0.25">
      <c r="D223" s="17" t="s">
        <v>510</v>
      </c>
    </row>
    <row r="224" spans="1:62" x14ac:dyDescent="0.25">
      <c r="A224" s="6" t="s">
        <v>110</v>
      </c>
      <c r="B224" s="6"/>
      <c r="C224" s="6" t="s">
        <v>262</v>
      </c>
      <c r="D224" s="6" t="s">
        <v>511</v>
      </c>
      <c r="E224" s="6" t="s">
        <v>593</v>
      </c>
      <c r="F224" s="21">
        <v>0.31290000000000001</v>
      </c>
      <c r="G224" s="91"/>
      <c r="H224" s="21">
        <f>F224*AO224</f>
        <v>0</v>
      </c>
      <c r="I224" s="21">
        <f>F224*AP224</f>
        <v>0</v>
      </c>
      <c r="J224" s="21">
        <f>F224*G224</f>
        <v>0</v>
      </c>
      <c r="K224" s="43">
        <f>IF(J305=0,0,J224/J305)</f>
        <v>0</v>
      </c>
      <c r="L224" s="21">
        <v>1</v>
      </c>
      <c r="M224" s="21">
        <f>F224*L224</f>
        <v>0.31290000000000001</v>
      </c>
      <c r="N224" s="32" t="s">
        <v>620</v>
      </c>
      <c r="Z224" s="35">
        <f>IF(AQ224="5",BJ224,0)</f>
        <v>0</v>
      </c>
      <c r="AB224" s="35">
        <f>IF(AQ224="1",BH224,0)</f>
        <v>0</v>
      </c>
      <c r="AC224" s="35">
        <f>IF(AQ224="1",BI224,0)</f>
        <v>0</v>
      </c>
      <c r="AD224" s="35">
        <f>IF(AQ224="7",BH224,0)</f>
        <v>0</v>
      </c>
      <c r="AE224" s="35">
        <f>IF(AQ224="7",BI224,0)</f>
        <v>0</v>
      </c>
      <c r="AF224" s="35">
        <f>IF(AQ224="2",BH224,0)</f>
        <v>0</v>
      </c>
      <c r="AG224" s="35">
        <f>IF(AQ224="2",BI224,0)</f>
        <v>0</v>
      </c>
      <c r="AH224" s="35">
        <f>IF(AQ224="0",BJ224,0)</f>
        <v>0</v>
      </c>
      <c r="AI224" s="27"/>
      <c r="AJ224" s="21">
        <f>IF(AN224=0,J224,0)</f>
        <v>0</v>
      </c>
      <c r="AK224" s="21">
        <f>IF(AN224=15,J224,0)</f>
        <v>0</v>
      </c>
      <c r="AL224" s="21">
        <f>IF(AN224=21,J224,0)</f>
        <v>0</v>
      </c>
      <c r="AN224" s="35">
        <v>21</v>
      </c>
      <c r="AO224" s="35">
        <f>G224*1</f>
        <v>0</v>
      </c>
      <c r="AP224" s="35">
        <f>G224*(1-1)</f>
        <v>0</v>
      </c>
      <c r="AQ224" s="32" t="s">
        <v>13</v>
      </c>
      <c r="AV224" s="35">
        <f>AW224+AX224</f>
        <v>0</v>
      </c>
      <c r="AW224" s="35">
        <f>F224*AO224</f>
        <v>0</v>
      </c>
      <c r="AX224" s="35">
        <f>F224*AP224</f>
        <v>0</v>
      </c>
      <c r="AY224" s="36" t="s">
        <v>655</v>
      </c>
      <c r="AZ224" s="36" t="s">
        <v>676</v>
      </c>
      <c r="BA224" s="27" t="s">
        <v>681</v>
      </c>
      <c r="BC224" s="35">
        <f>AW224+AX224</f>
        <v>0</v>
      </c>
      <c r="BD224" s="35">
        <f>G224/(100-BE224)*100</f>
        <v>0</v>
      </c>
      <c r="BE224" s="35">
        <v>0</v>
      </c>
      <c r="BF224" s="35">
        <f>M224</f>
        <v>0.31290000000000001</v>
      </c>
      <c r="BH224" s="21">
        <f>F224*AO224</f>
        <v>0</v>
      </c>
      <c r="BI224" s="21">
        <f>F224*AP224</f>
        <v>0</v>
      </c>
      <c r="BJ224" s="21">
        <f>F224*G224</f>
        <v>0</v>
      </c>
    </row>
    <row r="225" spans="1:62" x14ac:dyDescent="0.25">
      <c r="C225" s="14" t="s">
        <v>151</v>
      </c>
      <c r="D225" s="141" t="s">
        <v>512</v>
      </c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</row>
    <row r="226" spans="1:62" x14ac:dyDescent="0.25">
      <c r="A226" s="4" t="s">
        <v>111</v>
      </c>
      <c r="B226" s="4"/>
      <c r="C226" s="4" t="s">
        <v>263</v>
      </c>
      <c r="D226" s="4" t="s">
        <v>513</v>
      </c>
      <c r="E226" s="4" t="s">
        <v>595</v>
      </c>
      <c r="F226" s="20">
        <v>175</v>
      </c>
      <c r="G226" s="88"/>
      <c r="H226" s="20">
        <f>F226*AO226</f>
        <v>0</v>
      </c>
      <c r="I226" s="20">
        <f>F226*AP226</f>
        <v>0</v>
      </c>
      <c r="J226" s="20">
        <f>F226*G226</f>
        <v>0</v>
      </c>
      <c r="K226" s="41">
        <f>IF(J305=0,0,J226/J305)</f>
        <v>0</v>
      </c>
      <c r="L226" s="20">
        <v>1.0499999999999999E-3</v>
      </c>
      <c r="M226" s="20">
        <f>F226*L226</f>
        <v>0.18375</v>
      </c>
      <c r="N226" s="31" t="s">
        <v>620</v>
      </c>
      <c r="Z226" s="35">
        <f>IF(AQ226="5",BJ226,0)</f>
        <v>0</v>
      </c>
      <c r="AB226" s="35">
        <f>IF(AQ226="1",BH226,0)</f>
        <v>0</v>
      </c>
      <c r="AC226" s="35">
        <f>IF(AQ226="1",BI226,0)</f>
        <v>0</v>
      </c>
      <c r="AD226" s="35">
        <f>IF(AQ226="7",BH226,0)</f>
        <v>0</v>
      </c>
      <c r="AE226" s="35">
        <f>IF(AQ226="7",BI226,0)</f>
        <v>0</v>
      </c>
      <c r="AF226" s="35">
        <f>IF(AQ226="2",BH226,0)</f>
        <v>0</v>
      </c>
      <c r="AG226" s="35">
        <f>IF(AQ226="2",BI226,0)</f>
        <v>0</v>
      </c>
      <c r="AH226" s="35">
        <f>IF(AQ226="0",BJ226,0)</f>
        <v>0</v>
      </c>
      <c r="AI226" s="27"/>
      <c r="AJ226" s="20">
        <f>IF(AN226=0,J226,0)</f>
        <v>0</v>
      </c>
      <c r="AK226" s="20">
        <f>IF(AN226=15,J226,0)</f>
        <v>0</v>
      </c>
      <c r="AL226" s="20">
        <f>IF(AN226=21,J226,0)</f>
        <v>0</v>
      </c>
      <c r="AN226" s="35">
        <v>21</v>
      </c>
      <c r="AO226" s="35">
        <f>G226*0</f>
        <v>0</v>
      </c>
      <c r="AP226" s="35">
        <f>G226*(1-0)</f>
        <v>0</v>
      </c>
      <c r="AQ226" s="31" t="s">
        <v>13</v>
      </c>
      <c r="AV226" s="35">
        <f>AW226+AX226</f>
        <v>0</v>
      </c>
      <c r="AW226" s="35">
        <f>F226*AO226</f>
        <v>0</v>
      </c>
      <c r="AX226" s="35">
        <f>F226*AP226</f>
        <v>0</v>
      </c>
      <c r="AY226" s="36" t="s">
        <v>655</v>
      </c>
      <c r="AZ226" s="36" t="s">
        <v>676</v>
      </c>
      <c r="BA226" s="27" t="s">
        <v>681</v>
      </c>
      <c r="BC226" s="35">
        <f>AW226+AX226</f>
        <v>0</v>
      </c>
      <c r="BD226" s="35">
        <f>G226/(100-BE226)*100</f>
        <v>0</v>
      </c>
      <c r="BE226" s="35">
        <v>0</v>
      </c>
      <c r="BF226" s="35">
        <f>M226</f>
        <v>0.18375</v>
      </c>
      <c r="BH226" s="20">
        <f>F226*AO226</f>
        <v>0</v>
      </c>
      <c r="BI226" s="20">
        <f>F226*AP226</f>
        <v>0</v>
      </c>
      <c r="BJ226" s="20">
        <f>F226*G226</f>
        <v>0</v>
      </c>
    </row>
    <row r="227" spans="1:62" x14ac:dyDescent="0.25">
      <c r="A227" s="5"/>
      <c r="B227" s="13"/>
      <c r="C227" s="13" t="s">
        <v>264</v>
      </c>
      <c r="D227" s="13" t="s">
        <v>514</v>
      </c>
      <c r="E227" s="5" t="s">
        <v>6</v>
      </c>
      <c r="F227" s="5" t="s">
        <v>6</v>
      </c>
      <c r="G227" s="90"/>
      <c r="H227" s="38">
        <f>SUM(H228:H234)</f>
        <v>0</v>
      </c>
      <c r="I227" s="38">
        <f>SUM(I228:I234)</f>
        <v>0</v>
      </c>
      <c r="J227" s="38">
        <f>SUM(J228:J234)</f>
        <v>0</v>
      </c>
      <c r="K227" s="42">
        <f>IF(J305=0,0,J227/J305)</f>
        <v>0</v>
      </c>
      <c r="L227" s="27"/>
      <c r="M227" s="38">
        <f>SUM(M228:M234)</f>
        <v>0.33922980000000003</v>
      </c>
      <c r="N227" s="27"/>
      <c r="AI227" s="27"/>
      <c r="AS227" s="38">
        <f>SUM(AJ228:AJ234)</f>
        <v>0</v>
      </c>
      <c r="AT227" s="38">
        <f>SUM(AK228:AK234)</f>
        <v>0</v>
      </c>
      <c r="AU227" s="38">
        <f>SUM(AL228:AL234)</f>
        <v>0</v>
      </c>
    </row>
    <row r="228" spans="1:62" x14ac:dyDescent="0.25">
      <c r="A228" s="4" t="s">
        <v>112</v>
      </c>
      <c r="B228" s="4"/>
      <c r="C228" s="4" t="s">
        <v>265</v>
      </c>
      <c r="D228" s="4" t="s">
        <v>515</v>
      </c>
      <c r="E228" s="4" t="s">
        <v>591</v>
      </c>
      <c r="F228" s="20">
        <v>19.95</v>
      </c>
      <c r="G228" s="88"/>
      <c r="H228" s="20">
        <f>F228*AO228</f>
        <v>0</v>
      </c>
      <c r="I228" s="20">
        <f>F228*AP228</f>
        <v>0</v>
      </c>
      <c r="J228" s="20">
        <f>F228*G228</f>
        <v>0</v>
      </c>
      <c r="K228" s="41">
        <f>IF(J305=0,0,J228/J305)</f>
        <v>0</v>
      </c>
      <c r="L228" s="20">
        <v>2.1000000000000001E-4</v>
      </c>
      <c r="M228" s="20">
        <f>F228*L228</f>
        <v>4.1894999999999996E-3</v>
      </c>
      <c r="N228" s="31" t="s">
        <v>620</v>
      </c>
      <c r="Z228" s="35">
        <f>IF(AQ228="5",BJ228,0)</f>
        <v>0</v>
      </c>
      <c r="AB228" s="35">
        <f>IF(AQ228="1",BH228,0)</f>
        <v>0</v>
      </c>
      <c r="AC228" s="35">
        <f>IF(AQ228="1",BI228,0)</f>
        <v>0</v>
      </c>
      <c r="AD228" s="35">
        <f>IF(AQ228="7",BH228,0)</f>
        <v>0</v>
      </c>
      <c r="AE228" s="35">
        <f>IF(AQ228="7",BI228,0)</f>
        <v>0</v>
      </c>
      <c r="AF228" s="35">
        <f>IF(AQ228="2",BH228,0)</f>
        <v>0</v>
      </c>
      <c r="AG228" s="35">
        <f>IF(AQ228="2",BI228,0)</f>
        <v>0</v>
      </c>
      <c r="AH228" s="35">
        <f>IF(AQ228="0",BJ228,0)</f>
        <v>0</v>
      </c>
      <c r="AI228" s="27"/>
      <c r="AJ228" s="20">
        <f>IF(AN228=0,J228,0)</f>
        <v>0</v>
      </c>
      <c r="AK228" s="20">
        <f>IF(AN228=15,J228,0)</f>
        <v>0</v>
      </c>
      <c r="AL228" s="20">
        <f>IF(AN228=21,J228,0)</f>
        <v>0</v>
      </c>
      <c r="AN228" s="35">
        <v>21</v>
      </c>
      <c r="AO228" s="35">
        <f>G228*0.464665600480857</f>
        <v>0</v>
      </c>
      <c r="AP228" s="35">
        <f>G228*(1-0.464665600480857)</f>
        <v>0</v>
      </c>
      <c r="AQ228" s="31" t="s">
        <v>13</v>
      </c>
      <c r="AV228" s="35">
        <f>AW228+AX228</f>
        <v>0</v>
      </c>
      <c r="AW228" s="35">
        <f>F228*AO228</f>
        <v>0</v>
      </c>
      <c r="AX228" s="35">
        <f>F228*AP228</f>
        <v>0</v>
      </c>
      <c r="AY228" s="36" t="s">
        <v>656</v>
      </c>
      <c r="AZ228" s="36" t="s">
        <v>677</v>
      </c>
      <c r="BA228" s="27" t="s">
        <v>681</v>
      </c>
      <c r="BC228" s="35">
        <f>AW228+AX228</f>
        <v>0</v>
      </c>
      <c r="BD228" s="35">
        <f>G228/(100-BE228)*100</f>
        <v>0</v>
      </c>
      <c r="BE228" s="35">
        <v>0</v>
      </c>
      <c r="BF228" s="35">
        <f>M228</f>
        <v>4.1894999999999996E-3</v>
      </c>
      <c r="BH228" s="20">
        <f>F228*AO228</f>
        <v>0</v>
      </c>
      <c r="BI228" s="20">
        <f>F228*AP228</f>
        <v>0</v>
      </c>
      <c r="BJ228" s="20">
        <f>F228*G228</f>
        <v>0</v>
      </c>
    </row>
    <row r="229" spans="1:62" x14ac:dyDescent="0.25">
      <c r="D229" s="17" t="s">
        <v>516</v>
      </c>
    </row>
    <row r="230" spans="1:62" x14ac:dyDescent="0.25">
      <c r="C230" s="14" t="s">
        <v>151</v>
      </c>
      <c r="D230" s="141" t="s">
        <v>517</v>
      </c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</row>
    <row r="231" spans="1:62" x14ac:dyDescent="0.25">
      <c r="A231" s="4" t="s">
        <v>113</v>
      </c>
      <c r="B231" s="4"/>
      <c r="C231" s="4" t="s">
        <v>266</v>
      </c>
      <c r="D231" s="4" t="s">
        <v>518</v>
      </c>
      <c r="E231" s="4" t="s">
        <v>591</v>
      </c>
      <c r="F231" s="20">
        <v>19.95</v>
      </c>
      <c r="G231" s="88"/>
      <c r="H231" s="20">
        <f>F231*AO231</f>
        <v>0</v>
      </c>
      <c r="I231" s="20">
        <f>F231*AP231</f>
        <v>0</v>
      </c>
      <c r="J231" s="20">
        <f>F231*G231</f>
        <v>0</v>
      </c>
      <c r="K231" s="41">
        <f>IF(J305=0,0,J231/J305)</f>
        <v>0</v>
      </c>
      <c r="L231" s="20">
        <v>2.31E-3</v>
      </c>
      <c r="M231" s="20">
        <f>F231*L231</f>
        <v>4.60845E-2</v>
      </c>
      <c r="N231" s="31" t="s">
        <v>620</v>
      </c>
      <c r="Z231" s="35">
        <f>IF(AQ231="5",BJ231,0)</f>
        <v>0</v>
      </c>
      <c r="AB231" s="35">
        <f>IF(AQ231="1",BH231,0)</f>
        <v>0</v>
      </c>
      <c r="AC231" s="35">
        <f>IF(AQ231="1",BI231,0)</f>
        <v>0</v>
      </c>
      <c r="AD231" s="35">
        <f>IF(AQ231="7",BH231,0)</f>
        <v>0</v>
      </c>
      <c r="AE231" s="35">
        <f>IF(AQ231="7",BI231,0)</f>
        <v>0</v>
      </c>
      <c r="AF231" s="35">
        <f>IF(AQ231="2",BH231,0)</f>
        <v>0</v>
      </c>
      <c r="AG231" s="35">
        <f>IF(AQ231="2",BI231,0)</f>
        <v>0</v>
      </c>
      <c r="AH231" s="35">
        <f>IF(AQ231="0",BJ231,0)</f>
        <v>0</v>
      </c>
      <c r="AI231" s="27"/>
      <c r="AJ231" s="20">
        <f>IF(AN231=0,J231,0)</f>
        <v>0</v>
      </c>
      <c r="AK231" s="20">
        <f>IF(AN231=15,J231,0)</f>
        <v>0</v>
      </c>
      <c r="AL231" s="20">
        <f>IF(AN231=21,J231,0)</f>
        <v>0</v>
      </c>
      <c r="AN231" s="35">
        <v>21</v>
      </c>
      <c r="AO231" s="35">
        <f>G231*0.129838709677419</f>
        <v>0</v>
      </c>
      <c r="AP231" s="35">
        <f>G231*(1-0.129838709677419)</f>
        <v>0</v>
      </c>
      <c r="AQ231" s="31" t="s">
        <v>13</v>
      </c>
      <c r="AV231" s="35">
        <f>AW231+AX231</f>
        <v>0</v>
      </c>
      <c r="AW231" s="35">
        <f>F231*AO231</f>
        <v>0</v>
      </c>
      <c r="AX231" s="35">
        <f>F231*AP231</f>
        <v>0</v>
      </c>
      <c r="AY231" s="36" t="s">
        <v>656</v>
      </c>
      <c r="AZ231" s="36" t="s">
        <v>677</v>
      </c>
      <c r="BA231" s="27" t="s">
        <v>681</v>
      </c>
      <c r="BC231" s="35">
        <f>AW231+AX231</f>
        <v>0</v>
      </c>
      <c r="BD231" s="35">
        <f>G231/(100-BE231)*100</f>
        <v>0</v>
      </c>
      <c r="BE231" s="35">
        <v>0</v>
      </c>
      <c r="BF231" s="35">
        <f>M231</f>
        <v>4.60845E-2</v>
      </c>
      <c r="BH231" s="20">
        <f>F231*AO231</f>
        <v>0</v>
      </c>
      <c r="BI231" s="20">
        <f>F231*AP231</f>
        <v>0</v>
      </c>
      <c r="BJ231" s="20">
        <f>F231*G231</f>
        <v>0</v>
      </c>
    </row>
    <row r="232" spans="1:62" x14ac:dyDescent="0.25">
      <c r="D232" s="17" t="s">
        <v>519</v>
      </c>
    </row>
    <row r="233" spans="1:62" x14ac:dyDescent="0.25">
      <c r="C233" s="14" t="s">
        <v>151</v>
      </c>
      <c r="D233" s="141" t="s">
        <v>520</v>
      </c>
      <c r="E233" s="142"/>
      <c r="F233" s="142"/>
      <c r="G233" s="142"/>
      <c r="H233" s="142"/>
      <c r="I233" s="142"/>
      <c r="J233" s="142"/>
      <c r="K233" s="142"/>
      <c r="L233" s="142"/>
      <c r="M233" s="142"/>
      <c r="N233" s="142"/>
    </row>
    <row r="234" spans="1:62" x14ac:dyDescent="0.25">
      <c r="A234" s="6" t="s">
        <v>114</v>
      </c>
      <c r="B234" s="6"/>
      <c r="C234" s="6" t="s">
        <v>267</v>
      </c>
      <c r="D234" s="6" t="s">
        <v>521</v>
      </c>
      <c r="E234" s="6" t="s">
        <v>591</v>
      </c>
      <c r="F234" s="21">
        <v>20.349</v>
      </c>
      <c r="G234" s="91"/>
      <c r="H234" s="21">
        <f>F234*AO234</f>
        <v>0</v>
      </c>
      <c r="I234" s="21">
        <f>F234*AP234</f>
        <v>0</v>
      </c>
      <c r="J234" s="21">
        <f>F234*G234</f>
        <v>0</v>
      </c>
      <c r="K234" s="43">
        <f>IF(J305=0,0,J234/J305)</f>
        <v>0</v>
      </c>
      <c r="L234" s="21">
        <v>1.4200000000000001E-2</v>
      </c>
      <c r="M234" s="21">
        <f>F234*L234</f>
        <v>0.28895580000000004</v>
      </c>
      <c r="N234" s="32" t="s">
        <v>620</v>
      </c>
      <c r="Z234" s="35">
        <f>IF(AQ234="5",BJ234,0)</f>
        <v>0</v>
      </c>
      <c r="AB234" s="35">
        <f>IF(AQ234="1",BH234,0)</f>
        <v>0</v>
      </c>
      <c r="AC234" s="35">
        <f>IF(AQ234="1",BI234,0)</f>
        <v>0</v>
      </c>
      <c r="AD234" s="35">
        <f>IF(AQ234="7",BH234,0)</f>
        <v>0</v>
      </c>
      <c r="AE234" s="35">
        <f>IF(AQ234="7",BI234,0)</f>
        <v>0</v>
      </c>
      <c r="AF234" s="35">
        <f>IF(AQ234="2",BH234,0)</f>
        <v>0</v>
      </c>
      <c r="AG234" s="35">
        <f>IF(AQ234="2",BI234,0)</f>
        <v>0</v>
      </c>
      <c r="AH234" s="35">
        <f>IF(AQ234="0",BJ234,0)</f>
        <v>0</v>
      </c>
      <c r="AI234" s="27"/>
      <c r="AJ234" s="21">
        <f>IF(AN234=0,J234,0)</f>
        <v>0</v>
      </c>
      <c r="AK234" s="21">
        <f>IF(AN234=15,J234,0)</f>
        <v>0</v>
      </c>
      <c r="AL234" s="21">
        <f>IF(AN234=21,J234,0)</f>
        <v>0</v>
      </c>
      <c r="AN234" s="35">
        <v>21</v>
      </c>
      <c r="AO234" s="35">
        <f>G234*1</f>
        <v>0</v>
      </c>
      <c r="AP234" s="35">
        <f>G234*(1-1)</f>
        <v>0</v>
      </c>
      <c r="AQ234" s="32" t="s">
        <v>13</v>
      </c>
      <c r="AV234" s="35">
        <f>AW234+AX234</f>
        <v>0</v>
      </c>
      <c r="AW234" s="35">
        <f>F234*AO234</f>
        <v>0</v>
      </c>
      <c r="AX234" s="35">
        <f>F234*AP234</f>
        <v>0</v>
      </c>
      <c r="AY234" s="36" t="s">
        <v>656</v>
      </c>
      <c r="AZ234" s="36" t="s">
        <v>677</v>
      </c>
      <c r="BA234" s="27" t="s">
        <v>681</v>
      </c>
      <c r="BC234" s="35">
        <f>AW234+AX234</f>
        <v>0</v>
      </c>
      <c r="BD234" s="35">
        <f>G234/(100-BE234)*100</f>
        <v>0</v>
      </c>
      <c r="BE234" s="35">
        <v>0</v>
      </c>
      <c r="BF234" s="35">
        <f>M234</f>
        <v>0.28895580000000004</v>
      </c>
      <c r="BH234" s="21">
        <f>F234*AO234</f>
        <v>0</v>
      </c>
      <c r="BI234" s="21">
        <f>F234*AP234</f>
        <v>0</v>
      </c>
      <c r="BJ234" s="21">
        <f>F234*G234</f>
        <v>0</v>
      </c>
    </row>
    <row r="235" spans="1:62" x14ac:dyDescent="0.25">
      <c r="C235" s="14" t="s">
        <v>151</v>
      </c>
      <c r="D235" s="141" t="s">
        <v>522</v>
      </c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</row>
    <row r="236" spans="1:62" x14ac:dyDescent="0.25">
      <c r="A236" s="5"/>
      <c r="B236" s="13"/>
      <c r="C236" s="13" t="s">
        <v>268</v>
      </c>
      <c r="D236" s="13" t="s">
        <v>523</v>
      </c>
      <c r="E236" s="5" t="s">
        <v>6</v>
      </c>
      <c r="F236" s="5" t="s">
        <v>6</v>
      </c>
      <c r="G236" s="90" t="s">
        <v>6</v>
      </c>
      <c r="H236" s="38">
        <f>SUM(H237:H243)</f>
        <v>0</v>
      </c>
      <c r="I236" s="38">
        <f>SUM(I237:I243)</f>
        <v>0</v>
      </c>
      <c r="J236" s="38">
        <f>SUM(J237:J243)</f>
        <v>0</v>
      </c>
      <c r="K236" s="42">
        <f>IF(J305=0,0,J236/J305)</f>
        <v>0</v>
      </c>
      <c r="L236" s="27"/>
      <c r="M236" s="38">
        <f>SUM(M237:M243)</f>
        <v>0.15964399999999998</v>
      </c>
      <c r="N236" s="27"/>
      <c r="AI236" s="27"/>
      <c r="AS236" s="38">
        <f>SUM(AJ237:AJ243)</f>
        <v>0</v>
      </c>
      <c r="AT236" s="38">
        <f>SUM(AK237:AK243)</f>
        <v>0</v>
      </c>
      <c r="AU236" s="38">
        <f>SUM(AL237:AL243)</f>
        <v>0</v>
      </c>
    </row>
    <row r="237" spans="1:62" x14ac:dyDescent="0.25">
      <c r="A237" s="4" t="s">
        <v>115</v>
      </c>
      <c r="B237" s="4"/>
      <c r="C237" s="4" t="s">
        <v>269</v>
      </c>
      <c r="D237" s="4" t="s">
        <v>524</v>
      </c>
      <c r="E237" s="4" t="s">
        <v>591</v>
      </c>
      <c r="F237" s="20">
        <v>37.299999999999997</v>
      </c>
      <c r="G237" s="88"/>
      <c r="H237" s="20">
        <f>F237*AO237</f>
        <v>0</v>
      </c>
      <c r="I237" s="20">
        <f>F237*AP237</f>
        <v>0</v>
      </c>
      <c r="J237" s="20">
        <f>F237*G237</f>
        <v>0</v>
      </c>
      <c r="K237" s="41">
        <f>IF(J305=0,0,J237/J305)</f>
        <v>0</v>
      </c>
      <c r="L237" s="20">
        <v>0</v>
      </c>
      <c r="M237" s="20">
        <f>F237*L237</f>
        <v>0</v>
      </c>
      <c r="N237" s="31" t="s">
        <v>620</v>
      </c>
      <c r="Z237" s="35">
        <f>IF(AQ237="5",BJ237,0)</f>
        <v>0</v>
      </c>
      <c r="AB237" s="35">
        <f>IF(AQ237="1",BH237,0)</f>
        <v>0</v>
      </c>
      <c r="AC237" s="35">
        <f>IF(AQ237="1",BI237,0)</f>
        <v>0</v>
      </c>
      <c r="AD237" s="35">
        <f>IF(AQ237="7",BH237,0)</f>
        <v>0</v>
      </c>
      <c r="AE237" s="35">
        <f>IF(AQ237="7",BI237,0)</f>
        <v>0</v>
      </c>
      <c r="AF237" s="35">
        <f>IF(AQ237="2",BH237,0)</f>
        <v>0</v>
      </c>
      <c r="AG237" s="35">
        <f>IF(AQ237="2",BI237,0)</f>
        <v>0</v>
      </c>
      <c r="AH237" s="35">
        <f>IF(AQ237="0",BJ237,0)</f>
        <v>0</v>
      </c>
      <c r="AI237" s="27"/>
      <c r="AJ237" s="20">
        <f>IF(AN237=0,J237,0)</f>
        <v>0</v>
      </c>
      <c r="AK237" s="20">
        <f>IF(AN237=15,J237,0)</f>
        <v>0</v>
      </c>
      <c r="AL237" s="20">
        <f>IF(AN237=21,J237,0)</f>
        <v>0</v>
      </c>
      <c r="AN237" s="35">
        <v>21</v>
      </c>
      <c r="AO237" s="35">
        <f>G237*0</f>
        <v>0</v>
      </c>
      <c r="AP237" s="35">
        <f>G237*(1-0)</f>
        <v>0</v>
      </c>
      <c r="AQ237" s="31" t="s">
        <v>13</v>
      </c>
      <c r="AV237" s="35">
        <f>AW237+AX237</f>
        <v>0</v>
      </c>
      <c r="AW237" s="35">
        <f>F237*AO237</f>
        <v>0</v>
      </c>
      <c r="AX237" s="35">
        <f>F237*AP237</f>
        <v>0</v>
      </c>
      <c r="AY237" s="36" t="s">
        <v>657</v>
      </c>
      <c r="AZ237" s="36" t="s">
        <v>677</v>
      </c>
      <c r="BA237" s="27" t="s">
        <v>681</v>
      </c>
      <c r="BC237" s="35">
        <f>AW237+AX237</f>
        <v>0</v>
      </c>
      <c r="BD237" s="35">
        <f>G237/(100-BE237)*100</f>
        <v>0</v>
      </c>
      <c r="BE237" s="35">
        <v>0</v>
      </c>
      <c r="BF237" s="35">
        <f>M237</f>
        <v>0</v>
      </c>
      <c r="BH237" s="20">
        <f>F237*AO237</f>
        <v>0</v>
      </c>
      <c r="BI237" s="20">
        <f>F237*AP237</f>
        <v>0</v>
      </c>
      <c r="BJ237" s="20">
        <f>F237*G237</f>
        <v>0</v>
      </c>
    </row>
    <row r="238" spans="1:62" x14ac:dyDescent="0.25">
      <c r="C238" s="14" t="s">
        <v>151</v>
      </c>
      <c r="D238" s="141" t="s">
        <v>525</v>
      </c>
      <c r="E238" s="142"/>
      <c r="F238" s="142"/>
      <c r="G238" s="142"/>
      <c r="H238" s="142"/>
      <c r="I238" s="142"/>
      <c r="J238" s="142"/>
      <c r="K238" s="142"/>
      <c r="L238" s="142"/>
      <c r="M238" s="142"/>
      <c r="N238" s="142"/>
    </row>
    <row r="239" spans="1:62" x14ac:dyDescent="0.25">
      <c r="A239" s="4" t="s">
        <v>116</v>
      </c>
      <c r="B239" s="4"/>
      <c r="C239" s="4" t="s">
        <v>270</v>
      </c>
      <c r="D239" s="4" t="s">
        <v>526</v>
      </c>
      <c r="E239" s="4" t="s">
        <v>591</v>
      </c>
      <c r="F239" s="20">
        <v>37.299999999999997</v>
      </c>
      <c r="G239" s="88"/>
      <c r="H239" s="20">
        <f>F239*AO239</f>
        <v>0</v>
      </c>
      <c r="I239" s="20">
        <f>F239*AP239</f>
        <v>0</v>
      </c>
      <c r="J239" s="20">
        <f>F239*G239</f>
        <v>0</v>
      </c>
      <c r="K239" s="41">
        <f>IF(J305=0,0,J239/J305)</f>
        <v>0</v>
      </c>
      <c r="L239" s="20">
        <v>0</v>
      </c>
      <c r="M239" s="20">
        <f>F239*L239</f>
        <v>0</v>
      </c>
      <c r="N239" s="31" t="s">
        <v>620</v>
      </c>
      <c r="Z239" s="35">
        <f>IF(AQ239="5",BJ239,0)</f>
        <v>0</v>
      </c>
      <c r="AB239" s="35">
        <f>IF(AQ239="1",BH239,0)</f>
        <v>0</v>
      </c>
      <c r="AC239" s="35">
        <f>IF(AQ239="1",BI239,0)</f>
        <v>0</v>
      </c>
      <c r="AD239" s="35">
        <f>IF(AQ239="7",BH239,0)</f>
        <v>0</v>
      </c>
      <c r="AE239" s="35">
        <f>IF(AQ239="7",BI239,0)</f>
        <v>0</v>
      </c>
      <c r="AF239" s="35">
        <f>IF(AQ239="2",BH239,0)</f>
        <v>0</v>
      </c>
      <c r="AG239" s="35">
        <f>IF(AQ239="2",BI239,0)</f>
        <v>0</v>
      </c>
      <c r="AH239" s="35">
        <f>IF(AQ239="0",BJ239,0)</f>
        <v>0</v>
      </c>
      <c r="AI239" s="27"/>
      <c r="AJ239" s="20">
        <f>IF(AN239=0,J239,0)</f>
        <v>0</v>
      </c>
      <c r="AK239" s="20">
        <f>IF(AN239=15,J239,0)</f>
        <v>0</v>
      </c>
      <c r="AL239" s="20">
        <f>IF(AN239=21,J239,0)</f>
        <v>0</v>
      </c>
      <c r="AN239" s="35">
        <v>21</v>
      </c>
      <c r="AO239" s="35">
        <f>G239*0</f>
        <v>0</v>
      </c>
      <c r="AP239" s="35">
        <f>G239*(1-0)</f>
        <v>0</v>
      </c>
      <c r="AQ239" s="31" t="s">
        <v>13</v>
      </c>
      <c r="AV239" s="35">
        <f>AW239+AX239</f>
        <v>0</v>
      </c>
      <c r="AW239" s="35">
        <f>F239*AO239</f>
        <v>0</v>
      </c>
      <c r="AX239" s="35">
        <f>F239*AP239</f>
        <v>0</v>
      </c>
      <c r="AY239" s="36" t="s">
        <v>657</v>
      </c>
      <c r="AZ239" s="36" t="s">
        <v>677</v>
      </c>
      <c r="BA239" s="27" t="s">
        <v>681</v>
      </c>
      <c r="BC239" s="35">
        <f>AW239+AX239</f>
        <v>0</v>
      </c>
      <c r="BD239" s="35">
        <f>G239/(100-BE239)*100</f>
        <v>0</v>
      </c>
      <c r="BE239" s="35">
        <v>0</v>
      </c>
      <c r="BF239" s="35">
        <f>M239</f>
        <v>0</v>
      </c>
      <c r="BH239" s="20">
        <f>F239*AO239</f>
        <v>0</v>
      </c>
      <c r="BI239" s="20">
        <f>F239*AP239</f>
        <v>0</v>
      </c>
      <c r="BJ239" s="20">
        <f>F239*G239</f>
        <v>0</v>
      </c>
    </row>
    <row r="240" spans="1:62" x14ac:dyDescent="0.25">
      <c r="C240" s="14" t="s">
        <v>151</v>
      </c>
      <c r="D240" s="141" t="s">
        <v>527</v>
      </c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</row>
    <row r="241" spans="1:62" x14ac:dyDescent="0.25">
      <c r="A241" s="6" t="s">
        <v>117</v>
      </c>
      <c r="B241" s="6"/>
      <c r="C241" s="6" t="s">
        <v>271</v>
      </c>
      <c r="D241" s="6" t="s">
        <v>528</v>
      </c>
      <c r="E241" s="6" t="s">
        <v>595</v>
      </c>
      <c r="F241" s="21">
        <v>7.8330000000000002</v>
      </c>
      <c r="G241" s="91"/>
      <c r="H241" s="21">
        <f>F241*AO241</f>
        <v>0</v>
      </c>
      <c r="I241" s="21">
        <f>F241*AP241</f>
        <v>0</v>
      </c>
      <c r="J241" s="21">
        <f>F241*G241</f>
        <v>0</v>
      </c>
      <c r="K241" s="43">
        <f>IF(J305=0,0,J241/J305)</f>
        <v>0</v>
      </c>
      <c r="L241" s="21">
        <v>1E-3</v>
      </c>
      <c r="M241" s="21">
        <f>F241*L241</f>
        <v>7.8329999999999997E-3</v>
      </c>
      <c r="N241" s="32" t="s">
        <v>620</v>
      </c>
      <c r="Z241" s="35">
        <f>IF(AQ241="5",BJ241,0)</f>
        <v>0</v>
      </c>
      <c r="AB241" s="35">
        <f>IF(AQ241="1",BH241,0)</f>
        <v>0</v>
      </c>
      <c r="AC241" s="35">
        <f>IF(AQ241="1",BI241,0)</f>
        <v>0</v>
      </c>
      <c r="AD241" s="35">
        <f>IF(AQ241="7",BH241,0)</f>
        <v>0</v>
      </c>
      <c r="AE241" s="35">
        <f>IF(AQ241="7",BI241,0)</f>
        <v>0</v>
      </c>
      <c r="AF241" s="35">
        <f>IF(AQ241="2",BH241,0)</f>
        <v>0</v>
      </c>
      <c r="AG241" s="35">
        <f>IF(AQ241="2",BI241,0)</f>
        <v>0</v>
      </c>
      <c r="AH241" s="35">
        <f>IF(AQ241="0",BJ241,0)</f>
        <v>0</v>
      </c>
      <c r="AI241" s="27"/>
      <c r="AJ241" s="21">
        <f>IF(AN241=0,J241,0)</f>
        <v>0</v>
      </c>
      <c r="AK241" s="21">
        <f>IF(AN241=15,J241,0)</f>
        <v>0</v>
      </c>
      <c r="AL241" s="21">
        <f>IF(AN241=21,J241,0)</f>
        <v>0</v>
      </c>
      <c r="AN241" s="35">
        <v>21</v>
      </c>
      <c r="AO241" s="35">
        <f>G241*1</f>
        <v>0</v>
      </c>
      <c r="AP241" s="35">
        <f>G241*(1-1)</f>
        <v>0</v>
      </c>
      <c r="AQ241" s="32" t="s">
        <v>13</v>
      </c>
      <c r="AV241" s="35">
        <f>AW241+AX241</f>
        <v>0</v>
      </c>
      <c r="AW241" s="35">
        <f>F241*AO241</f>
        <v>0</v>
      </c>
      <c r="AX241" s="35">
        <f>F241*AP241</f>
        <v>0</v>
      </c>
      <c r="AY241" s="36" t="s">
        <v>657</v>
      </c>
      <c r="AZ241" s="36" t="s">
        <v>677</v>
      </c>
      <c r="BA241" s="27" t="s">
        <v>681</v>
      </c>
      <c r="BC241" s="35">
        <f>AW241+AX241</f>
        <v>0</v>
      </c>
      <c r="BD241" s="35">
        <f>G241/(100-BE241)*100</f>
        <v>0</v>
      </c>
      <c r="BE241" s="35">
        <v>0</v>
      </c>
      <c r="BF241" s="35">
        <f>M241</f>
        <v>7.8329999999999997E-3</v>
      </c>
      <c r="BH241" s="21">
        <f>F241*AO241</f>
        <v>0</v>
      </c>
      <c r="BI241" s="21">
        <f>F241*AP241</f>
        <v>0</v>
      </c>
      <c r="BJ241" s="21">
        <f>F241*G241</f>
        <v>0</v>
      </c>
    </row>
    <row r="242" spans="1:62" x14ac:dyDescent="0.25">
      <c r="C242" s="14" t="s">
        <v>151</v>
      </c>
      <c r="D242" s="141" t="s">
        <v>529</v>
      </c>
      <c r="E242" s="142"/>
      <c r="F242" s="142"/>
      <c r="G242" s="142"/>
      <c r="H242" s="142"/>
      <c r="I242" s="142"/>
      <c r="J242" s="142"/>
      <c r="K242" s="142"/>
      <c r="L242" s="142"/>
      <c r="M242" s="142"/>
      <c r="N242" s="142"/>
    </row>
    <row r="243" spans="1:62" x14ac:dyDescent="0.25">
      <c r="A243" s="4" t="s">
        <v>118</v>
      </c>
      <c r="B243" s="4"/>
      <c r="C243" s="4" t="s">
        <v>272</v>
      </c>
      <c r="D243" s="4" t="s">
        <v>530</v>
      </c>
      <c r="E243" s="4" t="s">
        <v>591</v>
      </c>
      <c r="F243" s="20">
        <v>37.299999999999997</v>
      </c>
      <c r="G243" s="88"/>
      <c r="H243" s="20">
        <f>F243*AO243</f>
        <v>0</v>
      </c>
      <c r="I243" s="20">
        <f>F243*AP243</f>
        <v>0</v>
      </c>
      <c r="J243" s="20">
        <f>F243*G243</f>
        <v>0</v>
      </c>
      <c r="K243" s="41">
        <f>IF(J305=0,0,J243/J305)</f>
        <v>0</v>
      </c>
      <c r="L243" s="20">
        <v>4.0699999999999998E-3</v>
      </c>
      <c r="M243" s="20">
        <f>F243*L243</f>
        <v>0.15181099999999997</v>
      </c>
      <c r="N243" s="31" t="s">
        <v>620</v>
      </c>
      <c r="Z243" s="35">
        <f>IF(AQ243="5",BJ243,0)</f>
        <v>0</v>
      </c>
      <c r="AB243" s="35">
        <f>IF(AQ243="1",BH243,0)</f>
        <v>0</v>
      </c>
      <c r="AC243" s="35">
        <f>IF(AQ243="1",BI243,0)</f>
        <v>0</v>
      </c>
      <c r="AD243" s="35">
        <f>IF(AQ243="7",BH243,0)</f>
        <v>0</v>
      </c>
      <c r="AE243" s="35">
        <f>IF(AQ243="7",BI243,0)</f>
        <v>0</v>
      </c>
      <c r="AF243" s="35">
        <f>IF(AQ243="2",BH243,0)</f>
        <v>0</v>
      </c>
      <c r="AG243" s="35">
        <f>IF(AQ243="2",BI243,0)</f>
        <v>0</v>
      </c>
      <c r="AH243" s="35">
        <f>IF(AQ243="0",BJ243,0)</f>
        <v>0</v>
      </c>
      <c r="AI243" s="27"/>
      <c r="AJ243" s="20">
        <f>IF(AN243=0,J243,0)</f>
        <v>0</v>
      </c>
      <c r="AK243" s="20">
        <f>IF(AN243=15,J243,0)</f>
        <v>0</v>
      </c>
      <c r="AL243" s="20">
        <f>IF(AN243=21,J243,0)</f>
        <v>0</v>
      </c>
      <c r="AN243" s="35">
        <v>21</v>
      </c>
      <c r="AO243" s="35">
        <f>G243*0.70432239657632</f>
        <v>0</v>
      </c>
      <c r="AP243" s="35">
        <f>G243*(1-0.70432239657632)</f>
        <v>0</v>
      </c>
      <c r="AQ243" s="31" t="s">
        <v>13</v>
      </c>
      <c r="AV243" s="35">
        <f>AW243+AX243</f>
        <v>0</v>
      </c>
      <c r="AW243" s="35">
        <f>F243*AO243</f>
        <v>0</v>
      </c>
      <c r="AX243" s="35">
        <f>F243*AP243</f>
        <v>0</v>
      </c>
      <c r="AY243" s="36" t="s">
        <v>657</v>
      </c>
      <c r="AZ243" s="36" t="s">
        <v>677</v>
      </c>
      <c r="BA243" s="27" t="s">
        <v>681</v>
      </c>
      <c r="BC243" s="35">
        <f>AW243+AX243</f>
        <v>0</v>
      </c>
      <c r="BD243" s="35">
        <f>G243/(100-BE243)*100</f>
        <v>0</v>
      </c>
      <c r="BE243" s="35">
        <v>0</v>
      </c>
      <c r="BF243" s="35">
        <f>M243</f>
        <v>0.15181099999999997</v>
      </c>
      <c r="BH243" s="20">
        <f>F243*AO243</f>
        <v>0</v>
      </c>
      <c r="BI243" s="20">
        <f>F243*AP243</f>
        <v>0</v>
      </c>
      <c r="BJ243" s="20">
        <f>F243*G243</f>
        <v>0</v>
      </c>
    </row>
    <row r="244" spans="1:62" x14ac:dyDescent="0.25">
      <c r="A244" s="5"/>
      <c r="B244" s="13"/>
      <c r="C244" s="13" t="s">
        <v>273</v>
      </c>
      <c r="D244" s="13" t="s">
        <v>531</v>
      </c>
      <c r="E244" s="5" t="s">
        <v>6</v>
      </c>
      <c r="F244" s="5" t="s">
        <v>6</v>
      </c>
      <c r="G244" s="90"/>
      <c r="H244" s="38">
        <f>SUM(H245:H246)</f>
        <v>0</v>
      </c>
      <c r="I244" s="38">
        <f>SUM(I245:I246)</f>
        <v>0</v>
      </c>
      <c r="J244" s="38">
        <f>SUM(J245:J246)</f>
        <v>0</v>
      </c>
      <c r="K244" s="42">
        <f>IF(J305=0,0,J244/J305)</f>
        <v>0</v>
      </c>
      <c r="L244" s="27"/>
      <c r="M244" s="38">
        <f>SUM(M245:M246)</f>
        <v>1.3268781999999999</v>
      </c>
      <c r="N244" s="27"/>
      <c r="AI244" s="27"/>
      <c r="AS244" s="38">
        <f>SUM(AJ245:AJ246)</f>
        <v>0</v>
      </c>
      <c r="AT244" s="38">
        <f>SUM(AK245:AK246)</f>
        <v>0</v>
      </c>
      <c r="AU244" s="38">
        <f>SUM(AL245:AL246)</f>
        <v>0</v>
      </c>
    </row>
    <row r="245" spans="1:62" x14ac:dyDescent="0.25">
      <c r="A245" s="4" t="s">
        <v>119</v>
      </c>
      <c r="B245" s="4"/>
      <c r="C245" s="4" t="s">
        <v>274</v>
      </c>
      <c r="D245" s="4" t="s">
        <v>532</v>
      </c>
      <c r="E245" s="4" t="s">
        <v>591</v>
      </c>
      <c r="F245" s="20">
        <v>223.17</v>
      </c>
      <c r="G245" s="88"/>
      <c r="H245" s="20">
        <f>F245*AO245</f>
        <v>0</v>
      </c>
      <c r="I245" s="20">
        <f>F245*AP245</f>
        <v>0</v>
      </c>
      <c r="J245" s="20">
        <f>F245*G245</f>
        <v>0</v>
      </c>
      <c r="K245" s="41">
        <f>IF(J305=0,0,J245/J305)</f>
        <v>0</v>
      </c>
      <c r="L245" s="20">
        <v>7.2000000000000005E-4</v>
      </c>
      <c r="M245" s="20">
        <f>F245*L245</f>
        <v>0.1606824</v>
      </c>
      <c r="N245" s="31" t="s">
        <v>620</v>
      </c>
      <c r="Z245" s="35">
        <f>IF(AQ245="5",BJ245,0)</f>
        <v>0</v>
      </c>
      <c r="AB245" s="35">
        <f>IF(AQ245="1",BH245,0)</f>
        <v>0</v>
      </c>
      <c r="AC245" s="35">
        <f>IF(AQ245="1",BI245,0)</f>
        <v>0</v>
      </c>
      <c r="AD245" s="35">
        <f>IF(AQ245="7",BH245,0)</f>
        <v>0</v>
      </c>
      <c r="AE245" s="35">
        <f>IF(AQ245="7",BI245,0)</f>
        <v>0</v>
      </c>
      <c r="AF245" s="35">
        <f>IF(AQ245="2",BH245,0)</f>
        <v>0</v>
      </c>
      <c r="AG245" s="35">
        <f>IF(AQ245="2",BI245,0)</f>
        <v>0</v>
      </c>
      <c r="AH245" s="35">
        <f>IF(AQ245="0",BJ245,0)</f>
        <v>0</v>
      </c>
      <c r="AI245" s="27"/>
      <c r="AJ245" s="20">
        <f>IF(AN245=0,J245,0)</f>
        <v>0</v>
      </c>
      <c r="AK245" s="20">
        <f>IF(AN245=15,J245,0)</f>
        <v>0</v>
      </c>
      <c r="AL245" s="20">
        <f>IF(AN245=21,J245,0)</f>
        <v>0</v>
      </c>
      <c r="AN245" s="35">
        <v>21</v>
      </c>
      <c r="AO245" s="35">
        <f>G245*0.799728260869565</f>
        <v>0</v>
      </c>
      <c r="AP245" s="35">
        <f>G245*(1-0.799728260869565)</f>
        <v>0</v>
      </c>
      <c r="AQ245" s="31" t="s">
        <v>13</v>
      </c>
      <c r="AV245" s="35">
        <f>AW245+AX245</f>
        <v>0</v>
      </c>
      <c r="AW245" s="35">
        <f>F245*AO245</f>
        <v>0</v>
      </c>
      <c r="AX245" s="35">
        <f>F245*AP245</f>
        <v>0</v>
      </c>
      <c r="AY245" s="36" t="s">
        <v>658</v>
      </c>
      <c r="AZ245" s="36" t="s">
        <v>677</v>
      </c>
      <c r="BA245" s="27" t="s">
        <v>681</v>
      </c>
      <c r="BC245" s="35">
        <f>AW245+AX245</f>
        <v>0</v>
      </c>
      <c r="BD245" s="35">
        <f>G245/(100-BE245)*100</f>
        <v>0</v>
      </c>
      <c r="BE245" s="35">
        <v>0</v>
      </c>
      <c r="BF245" s="35">
        <f>M245</f>
        <v>0.1606824</v>
      </c>
      <c r="BH245" s="20">
        <f>F245*AO245</f>
        <v>0</v>
      </c>
      <c r="BI245" s="20">
        <f>F245*AP245</f>
        <v>0</v>
      </c>
      <c r="BJ245" s="20">
        <f>F245*G245</f>
        <v>0</v>
      </c>
    </row>
    <row r="246" spans="1:62" x14ac:dyDescent="0.25">
      <c r="A246" s="4" t="s">
        <v>120</v>
      </c>
      <c r="B246" s="4"/>
      <c r="C246" s="4" t="s">
        <v>275</v>
      </c>
      <c r="D246" s="4" t="s">
        <v>533</v>
      </c>
      <c r="E246" s="4" t="s">
        <v>591</v>
      </c>
      <c r="F246" s="20">
        <v>203.17</v>
      </c>
      <c r="G246" s="88"/>
      <c r="H246" s="20">
        <f>F246*AO246</f>
        <v>0</v>
      </c>
      <c r="I246" s="20">
        <f>F246*AP246</f>
        <v>0</v>
      </c>
      <c r="J246" s="20">
        <f>F246*G246</f>
        <v>0</v>
      </c>
      <c r="K246" s="41">
        <f>IF(J305=0,0,J246/J305)</f>
        <v>0</v>
      </c>
      <c r="L246" s="20">
        <v>5.7400000000000003E-3</v>
      </c>
      <c r="M246" s="20">
        <f>F246*L246</f>
        <v>1.1661957999999999</v>
      </c>
      <c r="N246" s="31" t="s">
        <v>620</v>
      </c>
      <c r="Z246" s="35">
        <f>IF(AQ246="5",BJ246,0)</f>
        <v>0</v>
      </c>
      <c r="AB246" s="35">
        <f>IF(AQ246="1",BH246,0)</f>
        <v>0</v>
      </c>
      <c r="AC246" s="35">
        <f>IF(AQ246="1",BI246,0)</f>
        <v>0</v>
      </c>
      <c r="AD246" s="35">
        <f>IF(AQ246="7",BH246,0)</f>
        <v>0</v>
      </c>
      <c r="AE246" s="35">
        <f>IF(AQ246="7",BI246,0)</f>
        <v>0</v>
      </c>
      <c r="AF246" s="35">
        <f>IF(AQ246="2",BH246,0)</f>
        <v>0</v>
      </c>
      <c r="AG246" s="35">
        <f>IF(AQ246="2",BI246,0)</f>
        <v>0</v>
      </c>
      <c r="AH246" s="35">
        <f>IF(AQ246="0",BJ246,0)</f>
        <v>0</v>
      </c>
      <c r="AI246" s="27"/>
      <c r="AJ246" s="20">
        <f>IF(AN246=0,J246,0)</f>
        <v>0</v>
      </c>
      <c r="AK246" s="20">
        <f>IF(AN246=15,J246,0)</f>
        <v>0</v>
      </c>
      <c r="AL246" s="20">
        <f>IF(AN246=21,J246,0)</f>
        <v>0</v>
      </c>
      <c r="AN246" s="35">
        <v>21</v>
      </c>
      <c r="AO246" s="35">
        <f>G246*0.541617694613484</f>
        <v>0</v>
      </c>
      <c r="AP246" s="35">
        <f>G246*(1-0.541617694613484)</f>
        <v>0</v>
      </c>
      <c r="AQ246" s="31" t="s">
        <v>13</v>
      </c>
      <c r="AV246" s="35">
        <f>AW246+AX246</f>
        <v>0</v>
      </c>
      <c r="AW246" s="35">
        <f>F246*AO246</f>
        <v>0</v>
      </c>
      <c r="AX246" s="35">
        <f>F246*AP246</f>
        <v>0</v>
      </c>
      <c r="AY246" s="36" t="s">
        <v>658</v>
      </c>
      <c r="AZ246" s="36" t="s">
        <v>677</v>
      </c>
      <c r="BA246" s="27" t="s">
        <v>681</v>
      </c>
      <c r="BC246" s="35">
        <f>AW246+AX246</f>
        <v>0</v>
      </c>
      <c r="BD246" s="35">
        <f>G246/(100-BE246)*100</f>
        <v>0</v>
      </c>
      <c r="BE246" s="35">
        <v>0</v>
      </c>
      <c r="BF246" s="35">
        <f>M246</f>
        <v>1.1661957999999999</v>
      </c>
      <c r="BH246" s="20">
        <f>F246*AO246</f>
        <v>0</v>
      </c>
      <c r="BI246" s="20">
        <f>F246*AP246</f>
        <v>0</v>
      </c>
      <c r="BJ246" s="20">
        <f>F246*G246</f>
        <v>0</v>
      </c>
    </row>
    <row r="247" spans="1:62" x14ac:dyDescent="0.25">
      <c r="C247" s="14" t="s">
        <v>151</v>
      </c>
      <c r="D247" s="141" t="s">
        <v>534</v>
      </c>
      <c r="E247" s="142"/>
      <c r="F247" s="142"/>
      <c r="G247" s="142"/>
      <c r="H247" s="142"/>
      <c r="I247" s="142"/>
      <c r="J247" s="142"/>
      <c r="K247" s="142"/>
      <c r="L247" s="142"/>
      <c r="M247" s="142"/>
      <c r="N247" s="142"/>
    </row>
    <row r="248" spans="1:62" x14ac:dyDescent="0.25">
      <c r="A248" s="5"/>
      <c r="B248" s="13"/>
      <c r="C248" s="13" t="s">
        <v>276</v>
      </c>
      <c r="D248" s="13" t="s">
        <v>535</v>
      </c>
      <c r="E248" s="5" t="s">
        <v>6</v>
      </c>
      <c r="F248" s="5" t="s">
        <v>6</v>
      </c>
      <c r="G248" s="90" t="s">
        <v>6</v>
      </c>
      <c r="H248" s="38">
        <f>SUM(H249:H251)</f>
        <v>0</v>
      </c>
      <c r="I248" s="38">
        <f>SUM(I249:I251)</f>
        <v>0</v>
      </c>
      <c r="J248" s="38">
        <f>SUM(J249:J251)</f>
        <v>0</v>
      </c>
      <c r="K248" s="42">
        <f>IF(J305=0,0,J248/J305)</f>
        <v>0</v>
      </c>
      <c r="L248" s="27"/>
      <c r="M248" s="38">
        <f>SUM(M249:M251)</f>
        <v>8.6647950000000001E-2</v>
      </c>
      <c r="N248" s="27"/>
      <c r="AI248" s="27"/>
      <c r="AS248" s="38">
        <f>SUM(AJ249:AJ251)</f>
        <v>0</v>
      </c>
      <c r="AT248" s="38">
        <f>SUM(AK249:AK251)</f>
        <v>0</v>
      </c>
      <c r="AU248" s="38">
        <f>SUM(AL249:AL251)</f>
        <v>0</v>
      </c>
    </row>
    <row r="249" spans="1:62" x14ac:dyDescent="0.25">
      <c r="A249" s="4" t="s">
        <v>121</v>
      </c>
      <c r="B249" s="4"/>
      <c r="C249" s="4" t="s">
        <v>277</v>
      </c>
      <c r="D249" s="4" t="s">
        <v>536</v>
      </c>
      <c r="E249" s="4" t="s">
        <v>591</v>
      </c>
      <c r="F249" s="20">
        <v>192.55099999999999</v>
      </c>
      <c r="G249" s="88"/>
      <c r="H249" s="20">
        <f>F249*AO249</f>
        <v>0</v>
      </c>
      <c r="I249" s="20">
        <f>F249*AP249</f>
        <v>0</v>
      </c>
      <c r="J249" s="20">
        <f>F249*G249</f>
        <v>0</v>
      </c>
      <c r="K249" s="41">
        <f>IF(J305=0,0,J249/J305)</f>
        <v>0</v>
      </c>
      <c r="L249" s="20">
        <v>5.0000000000000002E-5</v>
      </c>
      <c r="M249" s="20">
        <f>F249*L249</f>
        <v>9.6275500000000003E-3</v>
      </c>
      <c r="N249" s="31" t="s">
        <v>620</v>
      </c>
      <c r="Z249" s="35">
        <f>IF(AQ249="5",BJ249,0)</f>
        <v>0</v>
      </c>
      <c r="AB249" s="35">
        <f>IF(AQ249="1",BH249,0)</f>
        <v>0</v>
      </c>
      <c r="AC249" s="35">
        <f>IF(AQ249="1",BI249,0)</f>
        <v>0</v>
      </c>
      <c r="AD249" s="35">
        <f>IF(AQ249="7",BH249,0)</f>
        <v>0</v>
      </c>
      <c r="AE249" s="35">
        <f>IF(AQ249="7",BI249,0)</f>
        <v>0</v>
      </c>
      <c r="AF249" s="35">
        <f>IF(AQ249="2",BH249,0)</f>
        <v>0</v>
      </c>
      <c r="AG249" s="35">
        <f>IF(AQ249="2",BI249,0)</f>
        <v>0</v>
      </c>
      <c r="AH249" s="35">
        <f>IF(AQ249="0",BJ249,0)</f>
        <v>0</v>
      </c>
      <c r="AI249" s="27"/>
      <c r="AJ249" s="20">
        <f>IF(AN249=0,J249,0)</f>
        <v>0</v>
      </c>
      <c r="AK249" s="20">
        <f>IF(AN249=15,J249,0)</f>
        <v>0</v>
      </c>
      <c r="AL249" s="20">
        <f>IF(AN249=21,J249,0)</f>
        <v>0</v>
      </c>
      <c r="AN249" s="35">
        <v>21</v>
      </c>
      <c r="AO249" s="35">
        <f>G249*0.0901233470007983</f>
        <v>0</v>
      </c>
      <c r="AP249" s="35">
        <f>G249*(1-0.0901233470007983)</f>
        <v>0</v>
      </c>
      <c r="AQ249" s="31" t="s">
        <v>13</v>
      </c>
      <c r="AV249" s="35">
        <f>AW249+AX249</f>
        <v>0</v>
      </c>
      <c r="AW249" s="35">
        <f>F249*AO249</f>
        <v>0</v>
      </c>
      <c r="AX249" s="35">
        <f>F249*AP249</f>
        <v>0</v>
      </c>
      <c r="AY249" s="36" t="s">
        <v>659</v>
      </c>
      <c r="AZ249" s="36" t="s">
        <v>678</v>
      </c>
      <c r="BA249" s="27" t="s">
        <v>681</v>
      </c>
      <c r="BC249" s="35">
        <f>AW249+AX249</f>
        <v>0</v>
      </c>
      <c r="BD249" s="35">
        <f>G249/(100-BE249)*100</f>
        <v>0</v>
      </c>
      <c r="BE249" s="35">
        <v>0</v>
      </c>
      <c r="BF249" s="35">
        <f>M249</f>
        <v>9.6275500000000003E-3</v>
      </c>
      <c r="BH249" s="20">
        <f>F249*AO249</f>
        <v>0</v>
      </c>
      <c r="BI249" s="20">
        <f>F249*AP249</f>
        <v>0</v>
      </c>
      <c r="BJ249" s="20">
        <f>F249*G249</f>
        <v>0</v>
      </c>
    </row>
    <row r="250" spans="1:62" x14ac:dyDescent="0.25">
      <c r="C250" s="14" t="s">
        <v>151</v>
      </c>
      <c r="D250" s="141" t="s">
        <v>537</v>
      </c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</row>
    <row r="251" spans="1:62" x14ac:dyDescent="0.25">
      <c r="A251" s="4" t="s">
        <v>122</v>
      </c>
      <c r="B251" s="4"/>
      <c r="C251" s="4" t="s">
        <v>278</v>
      </c>
      <c r="D251" s="4" t="s">
        <v>538</v>
      </c>
      <c r="E251" s="4" t="s">
        <v>591</v>
      </c>
      <c r="F251" s="20">
        <v>192.55099999999999</v>
      </c>
      <c r="G251" s="88"/>
      <c r="H251" s="20">
        <f>F251*AO251</f>
        <v>0</v>
      </c>
      <c r="I251" s="20">
        <f>F251*AP251</f>
        <v>0</v>
      </c>
      <c r="J251" s="20">
        <f>F251*G251</f>
        <v>0</v>
      </c>
      <c r="K251" s="41">
        <f>IF(J305=0,0,J251/J305)</f>
        <v>0</v>
      </c>
      <c r="L251" s="20">
        <v>4.0000000000000002E-4</v>
      </c>
      <c r="M251" s="20">
        <f>F251*L251</f>
        <v>7.7020400000000003E-2</v>
      </c>
      <c r="N251" s="31" t="s">
        <v>620</v>
      </c>
      <c r="Z251" s="35">
        <f>IF(AQ251="5",BJ251,0)</f>
        <v>0</v>
      </c>
      <c r="AB251" s="35">
        <f>IF(AQ251="1",BH251,0)</f>
        <v>0</v>
      </c>
      <c r="AC251" s="35">
        <f>IF(AQ251="1",BI251,0)</f>
        <v>0</v>
      </c>
      <c r="AD251" s="35">
        <f>IF(AQ251="7",BH251,0)</f>
        <v>0</v>
      </c>
      <c r="AE251" s="35">
        <f>IF(AQ251="7",BI251,0)</f>
        <v>0</v>
      </c>
      <c r="AF251" s="35">
        <f>IF(AQ251="2",BH251,0)</f>
        <v>0</v>
      </c>
      <c r="AG251" s="35">
        <f>IF(AQ251="2",BI251,0)</f>
        <v>0</v>
      </c>
      <c r="AH251" s="35">
        <f>IF(AQ251="0",BJ251,0)</f>
        <v>0</v>
      </c>
      <c r="AI251" s="27"/>
      <c r="AJ251" s="20">
        <f>IF(AN251=0,J251,0)</f>
        <v>0</v>
      </c>
      <c r="AK251" s="20">
        <f>IF(AN251=15,J251,0)</f>
        <v>0</v>
      </c>
      <c r="AL251" s="20">
        <f>IF(AN251=21,J251,0)</f>
        <v>0</v>
      </c>
      <c r="AN251" s="35">
        <v>21</v>
      </c>
      <c r="AO251" s="35">
        <f>G251*0.299999962172295</f>
        <v>0</v>
      </c>
      <c r="AP251" s="35">
        <f>G251*(1-0.299999962172295)</f>
        <v>0</v>
      </c>
      <c r="AQ251" s="31" t="s">
        <v>13</v>
      </c>
      <c r="AV251" s="35">
        <f>AW251+AX251</f>
        <v>0</v>
      </c>
      <c r="AW251" s="35">
        <f>F251*AO251</f>
        <v>0</v>
      </c>
      <c r="AX251" s="35">
        <f>F251*AP251</f>
        <v>0</v>
      </c>
      <c r="AY251" s="36" t="s">
        <v>659</v>
      </c>
      <c r="AZ251" s="36" t="s">
        <v>678</v>
      </c>
      <c r="BA251" s="27" t="s">
        <v>681</v>
      </c>
      <c r="BC251" s="35">
        <f>AW251+AX251</f>
        <v>0</v>
      </c>
      <c r="BD251" s="35">
        <f>G251/(100-BE251)*100</f>
        <v>0</v>
      </c>
      <c r="BE251" s="35">
        <v>0</v>
      </c>
      <c r="BF251" s="35">
        <f>M251</f>
        <v>7.7020400000000003E-2</v>
      </c>
      <c r="BH251" s="20">
        <f>F251*AO251</f>
        <v>0</v>
      </c>
      <c r="BI251" s="20">
        <f>F251*AP251</f>
        <v>0</v>
      </c>
      <c r="BJ251" s="20">
        <f>F251*G251</f>
        <v>0</v>
      </c>
    </row>
    <row r="252" spans="1:62" x14ac:dyDescent="0.25">
      <c r="C252" s="14" t="s">
        <v>151</v>
      </c>
      <c r="D252" s="141" t="s">
        <v>539</v>
      </c>
      <c r="E252" s="142"/>
      <c r="F252" s="142"/>
      <c r="G252" s="142"/>
      <c r="H252" s="142"/>
      <c r="I252" s="142"/>
      <c r="J252" s="142"/>
      <c r="K252" s="142"/>
      <c r="L252" s="142"/>
      <c r="M252" s="142"/>
      <c r="N252" s="142"/>
    </row>
    <row r="253" spans="1:62" x14ac:dyDescent="0.25">
      <c r="A253" s="5"/>
      <c r="B253" s="13"/>
      <c r="C253" s="13" t="s">
        <v>89</v>
      </c>
      <c r="D253" s="13" t="s">
        <v>540</v>
      </c>
      <c r="E253" s="5" t="s">
        <v>6</v>
      </c>
      <c r="F253" s="5" t="s">
        <v>6</v>
      </c>
      <c r="G253" s="90" t="s">
        <v>6</v>
      </c>
      <c r="H253" s="38">
        <f>SUM(H254:H254)</f>
        <v>0</v>
      </c>
      <c r="I253" s="38">
        <f>SUM(I254:I254)</f>
        <v>0</v>
      </c>
      <c r="J253" s="38">
        <f>SUM(J254:J254)</f>
        <v>0</v>
      </c>
      <c r="K253" s="42">
        <f>IF(J305=0,0,J253/J305)</f>
        <v>0</v>
      </c>
      <c r="L253" s="27"/>
      <c r="M253" s="38">
        <f>SUM(M254:M254)</f>
        <v>8.7087599999999998</v>
      </c>
      <c r="N253" s="27"/>
      <c r="AI253" s="27"/>
      <c r="AS253" s="38">
        <f>SUM(AJ254:AJ254)</f>
        <v>0</v>
      </c>
      <c r="AT253" s="38">
        <f>SUM(AK254:AK254)</f>
        <v>0</v>
      </c>
      <c r="AU253" s="38">
        <f>SUM(AL254:AL254)</f>
        <v>0</v>
      </c>
    </row>
    <row r="254" spans="1:62" x14ac:dyDescent="0.25">
      <c r="A254" s="4" t="s">
        <v>123</v>
      </c>
      <c r="B254" s="4"/>
      <c r="C254" s="4" t="s">
        <v>279</v>
      </c>
      <c r="D254" s="4" t="s">
        <v>541</v>
      </c>
      <c r="E254" s="4" t="s">
        <v>594</v>
      </c>
      <c r="F254" s="20">
        <v>9</v>
      </c>
      <c r="G254" s="88"/>
      <c r="H254" s="20">
        <f>F254*AO254</f>
        <v>0</v>
      </c>
      <c r="I254" s="20">
        <f>F254*AP254</f>
        <v>0</v>
      </c>
      <c r="J254" s="20">
        <f>F254*G254</f>
        <v>0</v>
      </c>
      <c r="K254" s="41">
        <f>IF(J305=0,0,J254/J305)</f>
        <v>0</v>
      </c>
      <c r="L254" s="20">
        <v>0.96763999999999994</v>
      </c>
      <c r="M254" s="20">
        <f>F254*L254</f>
        <v>8.7087599999999998</v>
      </c>
      <c r="N254" s="31" t="s">
        <v>622</v>
      </c>
      <c r="Z254" s="35">
        <f>IF(AQ254="5",BJ254,0)</f>
        <v>0</v>
      </c>
      <c r="AB254" s="35">
        <f>IF(AQ254="1",BH254,0)</f>
        <v>0</v>
      </c>
      <c r="AC254" s="35">
        <f>IF(AQ254="1",BI254,0)</f>
        <v>0</v>
      </c>
      <c r="AD254" s="35">
        <f>IF(AQ254="7",BH254,0)</f>
        <v>0</v>
      </c>
      <c r="AE254" s="35">
        <f>IF(AQ254="7",BI254,0)</f>
        <v>0</v>
      </c>
      <c r="AF254" s="35">
        <f>IF(AQ254="2",BH254,0)</f>
        <v>0</v>
      </c>
      <c r="AG254" s="35">
        <f>IF(AQ254="2",BI254,0)</f>
        <v>0</v>
      </c>
      <c r="AH254" s="35">
        <f>IF(AQ254="0",BJ254,0)</f>
        <v>0</v>
      </c>
      <c r="AI254" s="27"/>
      <c r="AJ254" s="20">
        <f>IF(AN254=0,J254,0)</f>
        <v>0</v>
      </c>
      <c r="AK254" s="20">
        <f>IF(AN254=15,J254,0)</f>
        <v>0</v>
      </c>
      <c r="AL254" s="20">
        <f>IF(AN254=21,J254,0)</f>
        <v>0</v>
      </c>
      <c r="AN254" s="35">
        <v>21</v>
      </c>
      <c r="AO254" s="35">
        <f>G254*0.395713646532439</f>
        <v>0</v>
      </c>
      <c r="AP254" s="35">
        <f>G254*(1-0.395713646532439)</f>
        <v>0</v>
      </c>
      <c r="AQ254" s="31" t="s">
        <v>7</v>
      </c>
      <c r="AV254" s="35">
        <f>AW254+AX254</f>
        <v>0</v>
      </c>
      <c r="AW254" s="35">
        <f>F254*AO254</f>
        <v>0</v>
      </c>
      <c r="AX254" s="35">
        <f>F254*AP254</f>
        <v>0</v>
      </c>
      <c r="AY254" s="36" t="s">
        <v>660</v>
      </c>
      <c r="AZ254" s="36" t="s">
        <v>679</v>
      </c>
      <c r="BA254" s="27" t="s">
        <v>681</v>
      </c>
      <c r="BC254" s="35">
        <f>AW254+AX254</f>
        <v>0</v>
      </c>
      <c r="BD254" s="35">
        <f>G254/(100-BE254)*100</f>
        <v>0</v>
      </c>
      <c r="BE254" s="35">
        <v>0</v>
      </c>
      <c r="BF254" s="35">
        <f>M254</f>
        <v>8.7087599999999998</v>
      </c>
      <c r="BH254" s="20">
        <f>F254*AO254</f>
        <v>0</v>
      </c>
      <c r="BI254" s="20">
        <f>F254*AP254</f>
        <v>0</v>
      </c>
      <c r="BJ254" s="20">
        <f>F254*G254</f>
        <v>0</v>
      </c>
    </row>
    <row r="255" spans="1:62" x14ac:dyDescent="0.25">
      <c r="D255" s="17" t="s">
        <v>542</v>
      </c>
    </row>
    <row r="256" spans="1:62" ht="25.65" customHeight="1" x14ac:dyDescent="0.25">
      <c r="C256" s="14" t="s">
        <v>151</v>
      </c>
      <c r="D256" s="141" t="s">
        <v>543</v>
      </c>
      <c r="E256" s="142"/>
      <c r="F256" s="142"/>
      <c r="G256" s="142"/>
      <c r="H256" s="142"/>
      <c r="I256" s="142"/>
      <c r="J256" s="142"/>
      <c r="K256" s="142"/>
      <c r="L256" s="142"/>
      <c r="M256" s="142"/>
      <c r="N256" s="142"/>
    </row>
    <row r="257" spans="1:62" x14ac:dyDescent="0.25">
      <c r="A257" s="5"/>
      <c r="B257" s="13"/>
      <c r="C257" s="13" t="s">
        <v>101</v>
      </c>
      <c r="D257" s="13" t="s">
        <v>544</v>
      </c>
      <c r="E257" s="5" t="s">
        <v>6</v>
      </c>
      <c r="F257" s="5" t="s">
        <v>6</v>
      </c>
      <c r="G257" s="90" t="s">
        <v>6</v>
      </c>
      <c r="H257" s="38">
        <f>SUM(H258:H264)</f>
        <v>0</v>
      </c>
      <c r="I257" s="38">
        <f>SUM(I258:I264)</f>
        <v>0</v>
      </c>
      <c r="J257" s="38">
        <f>SUM(J258:J264)</f>
        <v>0</v>
      </c>
      <c r="K257" s="42">
        <f>IF(J305=0,0,J257/J305)</f>
        <v>0</v>
      </c>
      <c r="L257" s="27"/>
      <c r="M257" s="38">
        <f>SUM(M258:M264)</f>
        <v>5.6349999999999997E-2</v>
      </c>
      <c r="N257" s="27"/>
      <c r="AI257" s="27"/>
      <c r="AS257" s="38">
        <f>SUM(AJ258:AJ264)</f>
        <v>0</v>
      </c>
      <c r="AT257" s="38">
        <f>SUM(AK258:AK264)</f>
        <v>0</v>
      </c>
      <c r="AU257" s="38">
        <f>SUM(AL258:AL264)</f>
        <v>0</v>
      </c>
    </row>
    <row r="258" spans="1:62" x14ac:dyDescent="0.25">
      <c r="A258" s="4" t="s">
        <v>124</v>
      </c>
      <c r="B258" s="4"/>
      <c r="C258" s="4" t="s">
        <v>280</v>
      </c>
      <c r="D258" s="4" t="s">
        <v>545</v>
      </c>
      <c r="E258" s="4" t="s">
        <v>591</v>
      </c>
      <c r="F258" s="20">
        <v>245.5</v>
      </c>
      <c r="G258" s="88"/>
      <c r="H258" s="20">
        <f>F258*AO258</f>
        <v>0</v>
      </c>
      <c r="I258" s="20">
        <f>F258*AP258</f>
        <v>0</v>
      </c>
      <c r="J258" s="20">
        <f>F258*G258</f>
        <v>0</v>
      </c>
      <c r="K258" s="41">
        <f>IF(J305=0,0,J258/J305)</f>
        <v>0</v>
      </c>
      <c r="L258" s="20">
        <v>4.0000000000000003E-5</v>
      </c>
      <c r="M258" s="20">
        <f>F258*L258</f>
        <v>9.8200000000000006E-3</v>
      </c>
      <c r="N258" s="31" t="s">
        <v>620</v>
      </c>
      <c r="Z258" s="35">
        <f>IF(AQ258="5",BJ258,0)</f>
        <v>0</v>
      </c>
      <c r="AB258" s="35">
        <f>IF(AQ258="1",BH258,0)</f>
        <v>0</v>
      </c>
      <c r="AC258" s="35">
        <f>IF(AQ258="1",BI258,0)</f>
        <v>0</v>
      </c>
      <c r="AD258" s="35">
        <f>IF(AQ258="7",BH258,0)</f>
        <v>0</v>
      </c>
      <c r="AE258" s="35">
        <f>IF(AQ258="7",BI258,0)</f>
        <v>0</v>
      </c>
      <c r="AF258" s="35">
        <f>IF(AQ258="2",BH258,0)</f>
        <v>0</v>
      </c>
      <c r="AG258" s="35">
        <f>IF(AQ258="2",BI258,0)</f>
        <v>0</v>
      </c>
      <c r="AH258" s="35">
        <f>IF(AQ258="0",BJ258,0)</f>
        <v>0</v>
      </c>
      <c r="AI258" s="27"/>
      <c r="AJ258" s="20">
        <f>IF(AN258=0,J258,0)</f>
        <v>0</v>
      </c>
      <c r="AK258" s="20">
        <f>IF(AN258=15,J258,0)</f>
        <v>0</v>
      </c>
      <c r="AL258" s="20">
        <f>IF(AN258=21,J258,0)</f>
        <v>0</v>
      </c>
      <c r="AN258" s="35">
        <v>21</v>
      </c>
      <c r="AO258" s="35">
        <f>G258*0.0145419793341441</f>
        <v>0</v>
      </c>
      <c r="AP258" s="35">
        <f>G258*(1-0.0145419793341441)</f>
        <v>0</v>
      </c>
      <c r="AQ258" s="31" t="s">
        <v>7</v>
      </c>
      <c r="AV258" s="35">
        <f>AW258+AX258</f>
        <v>0</v>
      </c>
      <c r="AW258" s="35">
        <f>F258*AO258</f>
        <v>0</v>
      </c>
      <c r="AX258" s="35">
        <f>F258*AP258</f>
        <v>0</v>
      </c>
      <c r="AY258" s="36" t="s">
        <v>661</v>
      </c>
      <c r="AZ258" s="36" t="s">
        <v>680</v>
      </c>
      <c r="BA258" s="27" t="s">
        <v>681</v>
      </c>
      <c r="BC258" s="35">
        <f>AW258+AX258</f>
        <v>0</v>
      </c>
      <c r="BD258" s="35">
        <f>G258/(100-BE258)*100</f>
        <v>0</v>
      </c>
      <c r="BE258" s="35">
        <v>0</v>
      </c>
      <c r="BF258" s="35">
        <f>M258</f>
        <v>9.8200000000000006E-3</v>
      </c>
      <c r="BH258" s="20">
        <f>F258*AO258</f>
        <v>0</v>
      </c>
      <c r="BI258" s="20">
        <f>F258*AP258</f>
        <v>0</v>
      </c>
      <c r="BJ258" s="20">
        <f>F258*G258</f>
        <v>0</v>
      </c>
    </row>
    <row r="259" spans="1:62" ht="38.4" customHeight="1" x14ac:dyDescent="0.25">
      <c r="C259" s="14" t="s">
        <v>151</v>
      </c>
      <c r="D259" s="141" t="s">
        <v>546</v>
      </c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</row>
    <row r="260" spans="1:62" x14ac:dyDescent="0.25">
      <c r="A260" s="4" t="s">
        <v>125</v>
      </c>
      <c r="B260" s="4"/>
      <c r="C260" s="4" t="s">
        <v>281</v>
      </c>
      <c r="D260" s="4" t="s">
        <v>547</v>
      </c>
      <c r="E260" s="4" t="s">
        <v>597</v>
      </c>
      <c r="F260" s="20">
        <v>3</v>
      </c>
      <c r="G260" s="88"/>
      <c r="H260" s="20">
        <f>F260*AO260</f>
        <v>0</v>
      </c>
      <c r="I260" s="20">
        <f>F260*AP260</f>
        <v>0</v>
      </c>
      <c r="J260" s="20">
        <f>F260*G260</f>
        <v>0</v>
      </c>
      <c r="K260" s="41">
        <f>IF(J305=0,0,J260/J305)</f>
        <v>0</v>
      </c>
      <c r="L260" s="20">
        <v>1.0000000000000001E-5</v>
      </c>
      <c r="M260" s="20">
        <f>F260*L260</f>
        <v>3.0000000000000004E-5</v>
      </c>
      <c r="N260" s="31" t="s">
        <v>620</v>
      </c>
      <c r="Z260" s="35">
        <f>IF(AQ260="5",BJ260,0)</f>
        <v>0</v>
      </c>
      <c r="AB260" s="35">
        <f>IF(AQ260="1",BH260,0)</f>
        <v>0</v>
      </c>
      <c r="AC260" s="35">
        <f>IF(AQ260="1",BI260,0)</f>
        <v>0</v>
      </c>
      <c r="AD260" s="35">
        <f>IF(AQ260="7",BH260,0)</f>
        <v>0</v>
      </c>
      <c r="AE260" s="35">
        <f>IF(AQ260="7",BI260,0)</f>
        <v>0</v>
      </c>
      <c r="AF260" s="35">
        <f>IF(AQ260="2",BH260,0)</f>
        <v>0</v>
      </c>
      <c r="AG260" s="35">
        <f>IF(AQ260="2",BI260,0)</f>
        <v>0</v>
      </c>
      <c r="AH260" s="35">
        <f>IF(AQ260="0",BJ260,0)</f>
        <v>0</v>
      </c>
      <c r="AI260" s="27"/>
      <c r="AJ260" s="20">
        <f>IF(AN260=0,J260,0)</f>
        <v>0</v>
      </c>
      <c r="AK260" s="20">
        <f>IF(AN260=15,J260,0)</f>
        <v>0</v>
      </c>
      <c r="AL260" s="20">
        <f>IF(AN260=21,J260,0)</f>
        <v>0</v>
      </c>
      <c r="AN260" s="35">
        <v>21</v>
      </c>
      <c r="AO260" s="35">
        <f>G260*0.129587482219061</f>
        <v>0</v>
      </c>
      <c r="AP260" s="35">
        <f>G260*(1-0.129587482219061)</f>
        <v>0</v>
      </c>
      <c r="AQ260" s="31" t="s">
        <v>7</v>
      </c>
      <c r="AV260" s="35">
        <f>AW260+AX260</f>
        <v>0</v>
      </c>
      <c r="AW260" s="35">
        <f>F260*AO260</f>
        <v>0</v>
      </c>
      <c r="AX260" s="35">
        <f>F260*AP260</f>
        <v>0</v>
      </c>
      <c r="AY260" s="36" t="s">
        <v>661</v>
      </c>
      <c r="AZ260" s="36" t="s">
        <v>680</v>
      </c>
      <c r="BA260" s="27" t="s">
        <v>681</v>
      </c>
      <c r="BC260" s="35">
        <f>AW260+AX260</f>
        <v>0</v>
      </c>
      <c r="BD260" s="35">
        <f>G260/(100-BE260)*100</f>
        <v>0</v>
      </c>
      <c r="BE260" s="35">
        <v>0</v>
      </c>
      <c r="BF260" s="35">
        <f>M260</f>
        <v>3.0000000000000004E-5</v>
      </c>
      <c r="BH260" s="20">
        <f>F260*AO260</f>
        <v>0</v>
      </c>
      <c r="BI260" s="20">
        <f>F260*AP260</f>
        <v>0</v>
      </c>
      <c r="BJ260" s="20">
        <f>F260*G260</f>
        <v>0</v>
      </c>
    </row>
    <row r="261" spans="1:62" x14ac:dyDescent="0.25">
      <c r="C261" s="14" t="s">
        <v>151</v>
      </c>
      <c r="D261" s="141" t="s">
        <v>548</v>
      </c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</row>
    <row r="262" spans="1:62" x14ac:dyDescent="0.25">
      <c r="A262" s="6" t="s">
        <v>126</v>
      </c>
      <c r="B262" s="6"/>
      <c r="C262" s="6" t="s">
        <v>282</v>
      </c>
      <c r="D262" s="6" t="s">
        <v>549</v>
      </c>
      <c r="E262" s="6" t="s">
        <v>597</v>
      </c>
      <c r="F262" s="21">
        <v>3</v>
      </c>
      <c r="G262" s="91"/>
      <c r="H262" s="21">
        <f>F262*AO262</f>
        <v>0</v>
      </c>
      <c r="I262" s="21">
        <f>F262*AP262</f>
        <v>0</v>
      </c>
      <c r="J262" s="21">
        <f>F262*G262</f>
        <v>0</v>
      </c>
      <c r="K262" s="43">
        <f>IF(J305=0,0,J262/J305)</f>
        <v>0</v>
      </c>
      <c r="L262" s="21">
        <v>1.55E-2</v>
      </c>
      <c r="M262" s="21">
        <f>F262*L262</f>
        <v>4.65E-2</v>
      </c>
      <c r="N262" s="32" t="s">
        <v>620</v>
      </c>
      <c r="Z262" s="35">
        <f>IF(AQ262="5",BJ262,0)</f>
        <v>0</v>
      </c>
      <c r="AB262" s="35">
        <f>IF(AQ262="1",BH262,0)</f>
        <v>0</v>
      </c>
      <c r="AC262" s="35">
        <f>IF(AQ262="1",BI262,0)</f>
        <v>0</v>
      </c>
      <c r="AD262" s="35">
        <f>IF(AQ262="7",BH262,0)</f>
        <v>0</v>
      </c>
      <c r="AE262" s="35">
        <f>IF(AQ262="7",BI262,0)</f>
        <v>0</v>
      </c>
      <c r="AF262" s="35">
        <f>IF(AQ262="2",BH262,0)</f>
        <v>0</v>
      </c>
      <c r="AG262" s="35">
        <f>IF(AQ262="2",BI262,0)</f>
        <v>0</v>
      </c>
      <c r="AH262" s="35">
        <f>IF(AQ262="0",BJ262,0)</f>
        <v>0</v>
      </c>
      <c r="AI262" s="27"/>
      <c r="AJ262" s="21">
        <f>IF(AN262=0,J262,0)</f>
        <v>0</v>
      </c>
      <c r="AK262" s="21">
        <f>IF(AN262=15,J262,0)</f>
        <v>0</v>
      </c>
      <c r="AL262" s="21">
        <f>IF(AN262=21,J262,0)</f>
        <v>0</v>
      </c>
      <c r="AN262" s="35">
        <v>21</v>
      </c>
      <c r="AO262" s="35">
        <f>G262*1</f>
        <v>0</v>
      </c>
      <c r="AP262" s="35">
        <f>G262*(1-1)</f>
        <v>0</v>
      </c>
      <c r="AQ262" s="32" t="s">
        <v>7</v>
      </c>
      <c r="AV262" s="35">
        <f>AW262+AX262</f>
        <v>0</v>
      </c>
      <c r="AW262" s="35">
        <f>F262*AO262</f>
        <v>0</v>
      </c>
      <c r="AX262" s="35">
        <f>F262*AP262</f>
        <v>0</v>
      </c>
      <c r="AY262" s="36" t="s">
        <v>661</v>
      </c>
      <c r="AZ262" s="36" t="s">
        <v>680</v>
      </c>
      <c r="BA262" s="27" t="s">
        <v>681</v>
      </c>
      <c r="BC262" s="35">
        <f>AW262+AX262</f>
        <v>0</v>
      </c>
      <c r="BD262" s="35">
        <f>G262/(100-BE262)*100</f>
        <v>0</v>
      </c>
      <c r="BE262" s="35">
        <v>0</v>
      </c>
      <c r="BF262" s="35">
        <f>M262</f>
        <v>4.65E-2</v>
      </c>
      <c r="BH262" s="21">
        <f>F262*AO262</f>
        <v>0</v>
      </c>
      <c r="BI262" s="21">
        <f>F262*AP262</f>
        <v>0</v>
      </c>
      <c r="BJ262" s="21">
        <f>F262*G262</f>
        <v>0</v>
      </c>
    </row>
    <row r="263" spans="1:62" ht="25.65" customHeight="1" x14ac:dyDescent="0.25">
      <c r="C263" s="14" t="s">
        <v>151</v>
      </c>
      <c r="D263" s="141" t="s">
        <v>550</v>
      </c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</row>
    <row r="264" spans="1:62" x14ac:dyDescent="0.25">
      <c r="A264" s="4" t="s">
        <v>127</v>
      </c>
      <c r="B264" s="4"/>
      <c r="C264" s="4" t="s">
        <v>283</v>
      </c>
      <c r="D264" s="4" t="s">
        <v>551</v>
      </c>
      <c r="E264" s="4" t="s">
        <v>597</v>
      </c>
      <c r="F264" s="20">
        <v>8</v>
      </c>
      <c r="G264" s="88"/>
      <c r="H264" s="20">
        <f>F264*AO264</f>
        <v>0</v>
      </c>
      <c r="I264" s="20">
        <f>F264*AP264</f>
        <v>0</v>
      </c>
      <c r="J264" s="20">
        <f>F264*G264</f>
        <v>0</v>
      </c>
      <c r="K264" s="41">
        <f>IF(J305=0,0,J264/J305)</f>
        <v>0</v>
      </c>
      <c r="L264" s="20">
        <v>0</v>
      </c>
      <c r="M264" s="20">
        <f>F264*L264</f>
        <v>0</v>
      </c>
      <c r="N264" s="31" t="s">
        <v>620</v>
      </c>
      <c r="Z264" s="35">
        <f>IF(AQ264="5",BJ264,0)</f>
        <v>0</v>
      </c>
      <c r="AB264" s="35">
        <f>IF(AQ264="1",BH264,0)</f>
        <v>0</v>
      </c>
      <c r="AC264" s="35">
        <f>IF(AQ264="1",BI264,0)</f>
        <v>0</v>
      </c>
      <c r="AD264" s="35">
        <f>IF(AQ264="7",BH264,0)</f>
        <v>0</v>
      </c>
      <c r="AE264" s="35">
        <f>IF(AQ264="7",BI264,0)</f>
        <v>0</v>
      </c>
      <c r="AF264" s="35">
        <f>IF(AQ264="2",BH264,0)</f>
        <v>0</v>
      </c>
      <c r="AG264" s="35">
        <f>IF(AQ264="2",BI264,0)</f>
        <v>0</v>
      </c>
      <c r="AH264" s="35">
        <f>IF(AQ264="0",BJ264,0)</f>
        <v>0</v>
      </c>
      <c r="AI264" s="27"/>
      <c r="AJ264" s="20">
        <f>IF(AN264=0,J264,0)</f>
        <v>0</v>
      </c>
      <c r="AK264" s="20">
        <f>IF(AN264=15,J264,0)</f>
        <v>0</v>
      </c>
      <c r="AL264" s="20">
        <f>IF(AN264=21,J264,0)</f>
        <v>0</v>
      </c>
      <c r="AN264" s="35">
        <v>21</v>
      </c>
      <c r="AO264" s="35">
        <f>G264*0</f>
        <v>0</v>
      </c>
      <c r="AP264" s="35">
        <f>G264*(1-0)</f>
        <v>0</v>
      </c>
      <c r="AQ264" s="31" t="s">
        <v>8</v>
      </c>
      <c r="AV264" s="35">
        <f>AW264+AX264</f>
        <v>0</v>
      </c>
      <c r="AW264" s="35">
        <f>F264*AO264</f>
        <v>0</v>
      </c>
      <c r="AX264" s="35">
        <f>F264*AP264</f>
        <v>0</v>
      </c>
      <c r="AY264" s="36" t="s">
        <v>661</v>
      </c>
      <c r="AZ264" s="36" t="s">
        <v>680</v>
      </c>
      <c r="BA264" s="27" t="s">
        <v>681</v>
      </c>
      <c r="BC264" s="35">
        <f>AW264+AX264</f>
        <v>0</v>
      </c>
      <c r="BD264" s="35">
        <f>G264/(100-BE264)*100</f>
        <v>0</v>
      </c>
      <c r="BE264" s="35">
        <v>0</v>
      </c>
      <c r="BF264" s="35">
        <f>M264</f>
        <v>0</v>
      </c>
      <c r="BH264" s="20">
        <f>F264*AO264</f>
        <v>0</v>
      </c>
      <c r="BI264" s="20">
        <f>F264*AP264</f>
        <v>0</v>
      </c>
      <c r="BJ264" s="20">
        <f>F264*G264</f>
        <v>0</v>
      </c>
    </row>
    <row r="265" spans="1:62" x14ac:dyDescent="0.25">
      <c r="A265" s="5"/>
      <c r="B265" s="13"/>
      <c r="C265" s="13" t="s">
        <v>102</v>
      </c>
      <c r="D265" s="13" t="s">
        <v>552</v>
      </c>
      <c r="E265" s="5" t="s">
        <v>6</v>
      </c>
      <c r="F265" s="5" t="s">
        <v>6</v>
      </c>
      <c r="G265" s="90" t="s">
        <v>6</v>
      </c>
      <c r="H265" s="38">
        <f>SUM(H266:H277)</f>
        <v>0</v>
      </c>
      <c r="I265" s="38">
        <f>SUM(I266:I277)</f>
        <v>0</v>
      </c>
      <c r="J265" s="38">
        <f>SUM(J266:J277)</f>
        <v>0</v>
      </c>
      <c r="K265" s="42">
        <f>IF(J305=0,0,J265/J305)</f>
        <v>0</v>
      </c>
      <c r="L265" s="27"/>
      <c r="M265" s="38">
        <f>SUM(M266:M277)</f>
        <v>76.085577232000006</v>
      </c>
      <c r="N265" s="27"/>
      <c r="AI265" s="27"/>
      <c r="AS265" s="38">
        <f>SUM(AJ266:AJ277)</f>
        <v>0</v>
      </c>
      <c r="AT265" s="38">
        <f>SUM(AK266:AK277)</f>
        <v>0</v>
      </c>
      <c r="AU265" s="38">
        <f>SUM(AL266:AL277)</f>
        <v>0</v>
      </c>
    </row>
    <row r="266" spans="1:62" x14ac:dyDescent="0.25">
      <c r="A266" s="4" t="s">
        <v>128</v>
      </c>
      <c r="B266" s="4"/>
      <c r="C266" s="4" t="s">
        <v>284</v>
      </c>
      <c r="D266" s="4" t="s">
        <v>553</v>
      </c>
      <c r="E266" s="4" t="s">
        <v>591</v>
      </c>
      <c r="F266" s="20">
        <v>197.4</v>
      </c>
      <c r="G266" s="88"/>
      <c r="H266" s="20">
        <f>F266*AO266</f>
        <v>0</v>
      </c>
      <c r="I266" s="20">
        <f>F266*AP266</f>
        <v>0</v>
      </c>
      <c r="J266" s="20">
        <f>F266*G266</f>
        <v>0</v>
      </c>
      <c r="K266" s="41">
        <f>IF(J305=0,0,J266/J305)</f>
        <v>0</v>
      </c>
      <c r="L266" s="20">
        <v>0.30221999999999999</v>
      </c>
      <c r="M266" s="20">
        <f>F266*L266</f>
        <v>59.658228000000001</v>
      </c>
      <c r="N266" s="31" t="s">
        <v>620</v>
      </c>
      <c r="Z266" s="35">
        <f>IF(AQ266="5",BJ266,0)</f>
        <v>0</v>
      </c>
      <c r="AB266" s="35">
        <f>IF(AQ266="1",BH266,0)</f>
        <v>0</v>
      </c>
      <c r="AC266" s="35">
        <f>IF(AQ266="1",BI266,0)</f>
        <v>0</v>
      </c>
      <c r="AD266" s="35">
        <f>IF(AQ266="7",BH266,0)</f>
        <v>0</v>
      </c>
      <c r="AE266" s="35">
        <f>IF(AQ266="7",BI266,0)</f>
        <v>0</v>
      </c>
      <c r="AF266" s="35">
        <f>IF(AQ266="2",BH266,0)</f>
        <v>0</v>
      </c>
      <c r="AG266" s="35">
        <f>IF(AQ266="2",BI266,0)</f>
        <v>0</v>
      </c>
      <c r="AH266" s="35">
        <f>IF(AQ266="0",BJ266,0)</f>
        <v>0</v>
      </c>
      <c r="AI266" s="27"/>
      <c r="AJ266" s="20">
        <f>IF(AN266=0,J266,0)</f>
        <v>0</v>
      </c>
      <c r="AK266" s="20">
        <f>IF(AN266=15,J266,0)</f>
        <v>0</v>
      </c>
      <c r="AL266" s="20">
        <f>IF(AN266=21,J266,0)</f>
        <v>0</v>
      </c>
      <c r="AN266" s="35">
        <v>21</v>
      </c>
      <c r="AO266" s="35">
        <f>G266*0.130681536555143</f>
        <v>0</v>
      </c>
      <c r="AP266" s="35">
        <f>G266*(1-0.130681536555143)</f>
        <v>0</v>
      </c>
      <c r="AQ266" s="31" t="s">
        <v>7</v>
      </c>
      <c r="AV266" s="35">
        <f>AW266+AX266</f>
        <v>0</v>
      </c>
      <c r="AW266" s="35">
        <f>F266*AO266</f>
        <v>0</v>
      </c>
      <c r="AX266" s="35">
        <f>F266*AP266</f>
        <v>0</v>
      </c>
      <c r="AY266" s="36" t="s">
        <v>662</v>
      </c>
      <c r="AZ266" s="36" t="s">
        <v>680</v>
      </c>
      <c r="BA266" s="27" t="s">
        <v>681</v>
      </c>
      <c r="BC266" s="35">
        <f>AW266+AX266</f>
        <v>0</v>
      </c>
      <c r="BD266" s="35">
        <f>G266/(100-BE266)*100</f>
        <v>0</v>
      </c>
      <c r="BE266" s="35">
        <v>0</v>
      </c>
      <c r="BF266" s="35">
        <f>M266</f>
        <v>59.658228000000001</v>
      </c>
      <c r="BH266" s="20">
        <f>F266*AO266</f>
        <v>0</v>
      </c>
      <c r="BI266" s="20">
        <f>F266*AP266</f>
        <v>0</v>
      </c>
      <c r="BJ266" s="20">
        <f>F266*G266</f>
        <v>0</v>
      </c>
    </row>
    <row r="267" spans="1:62" x14ac:dyDescent="0.25">
      <c r="D267" s="17" t="s">
        <v>554</v>
      </c>
    </row>
    <row r="268" spans="1:62" x14ac:dyDescent="0.25">
      <c r="C268" s="14" t="s">
        <v>151</v>
      </c>
      <c r="D268" s="141" t="s">
        <v>555</v>
      </c>
      <c r="E268" s="142"/>
      <c r="F268" s="142"/>
      <c r="G268" s="142"/>
      <c r="H268" s="142"/>
      <c r="I268" s="142"/>
      <c r="J268" s="142"/>
      <c r="K268" s="142"/>
      <c r="L268" s="142"/>
      <c r="M268" s="142"/>
      <c r="N268" s="142"/>
    </row>
    <row r="269" spans="1:62" x14ac:dyDescent="0.25">
      <c r="A269" s="4" t="s">
        <v>129</v>
      </c>
      <c r="B269" s="4"/>
      <c r="C269" s="4" t="s">
        <v>285</v>
      </c>
      <c r="D269" s="4" t="s">
        <v>556</v>
      </c>
      <c r="E269" s="4" t="s">
        <v>591</v>
      </c>
      <c r="F269" s="20">
        <v>13.49</v>
      </c>
      <c r="G269" s="88"/>
      <c r="H269" s="20">
        <f>F269*AO269</f>
        <v>0</v>
      </c>
      <c r="I269" s="20">
        <f>F269*AP269</f>
        <v>0</v>
      </c>
      <c r="J269" s="20">
        <f>F269*G269</f>
        <v>0</v>
      </c>
      <c r="K269" s="41">
        <f>IF(J305=0,0,J269/J305)</f>
        <v>0</v>
      </c>
      <c r="L269" s="20">
        <v>8.2669999999999993E-2</v>
      </c>
      <c r="M269" s="20">
        <f>F269*L269</f>
        <v>1.1152183</v>
      </c>
      <c r="N269" s="31" t="s">
        <v>620</v>
      </c>
      <c r="Z269" s="35">
        <f>IF(AQ269="5",BJ269,0)</f>
        <v>0</v>
      </c>
      <c r="AB269" s="35">
        <f>IF(AQ269="1",BH269,0)</f>
        <v>0</v>
      </c>
      <c r="AC269" s="35">
        <f>IF(AQ269="1",BI269,0)</f>
        <v>0</v>
      </c>
      <c r="AD269" s="35">
        <f>IF(AQ269="7",BH269,0)</f>
        <v>0</v>
      </c>
      <c r="AE269" s="35">
        <f>IF(AQ269="7",BI269,0)</f>
        <v>0</v>
      </c>
      <c r="AF269" s="35">
        <f>IF(AQ269="2",BH269,0)</f>
        <v>0</v>
      </c>
      <c r="AG269" s="35">
        <f>IF(AQ269="2",BI269,0)</f>
        <v>0</v>
      </c>
      <c r="AH269" s="35">
        <f>IF(AQ269="0",BJ269,0)</f>
        <v>0</v>
      </c>
      <c r="AI269" s="27"/>
      <c r="AJ269" s="20">
        <f>IF(AN269=0,J269,0)</f>
        <v>0</v>
      </c>
      <c r="AK269" s="20">
        <f>IF(AN269=15,J269,0)</f>
        <v>0</v>
      </c>
      <c r="AL269" s="20">
        <f>IF(AN269=21,J269,0)</f>
        <v>0</v>
      </c>
      <c r="AN269" s="35">
        <v>21</v>
      </c>
      <c r="AO269" s="35">
        <f>G269*0.0708723656891165</f>
        <v>0</v>
      </c>
      <c r="AP269" s="35">
        <f>G269*(1-0.0708723656891165)</f>
        <v>0</v>
      </c>
      <c r="AQ269" s="31" t="s">
        <v>7</v>
      </c>
      <c r="AV269" s="35">
        <f>AW269+AX269</f>
        <v>0</v>
      </c>
      <c r="AW269" s="35">
        <f>F269*AO269</f>
        <v>0</v>
      </c>
      <c r="AX269" s="35">
        <f>F269*AP269</f>
        <v>0</v>
      </c>
      <c r="AY269" s="36" t="s">
        <v>662</v>
      </c>
      <c r="AZ269" s="36" t="s">
        <v>680</v>
      </c>
      <c r="BA269" s="27" t="s">
        <v>681</v>
      </c>
      <c r="BC269" s="35">
        <f>AW269+AX269</f>
        <v>0</v>
      </c>
      <c r="BD269" s="35">
        <f>G269/(100-BE269)*100</f>
        <v>0</v>
      </c>
      <c r="BE269" s="35">
        <v>0</v>
      </c>
      <c r="BF269" s="35">
        <f>M269</f>
        <v>1.1152183</v>
      </c>
      <c r="BH269" s="20">
        <f>F269*AO269</f>
        <v>0</v>
      </c>
      <c r="BI269" s="20">
        <f>F269*AP269</f>
        <v>0</v>
      </c>
      <c r="BJ269" s="20">
        <f>F269*G269</f>
        <v>0</v>
      </c>
    </row>
    <row r="270" spans="1:62" x14ac:dyDescent="0.25">
      <c r="C270" s="14" t="s">
        <v>151</v>
      </c>
      <c r="D270" s="141" t="s">
        <v>555</v>
      </c>
      <c r="E270" s="142"/>
      <c r="F270" s="142"/>
      <c r="G270" s="142"/>
      <c r="H270" s="142"/>
      <c r="I270" s="142"/>
      <c r="J270" s="142"/>
      <c r="K270" s="142"/>
      <c r="L270" s="142"/>
      <c r="M270" s="142"/>
      <c r="N270" s="142"/>
    </row>
    <row r="271" spans="1:62" x14ac:dyDescent="0.25">
      <c r="A271" s="4" t="s">
        <v>130</v>
      </c>
      <c r="B271" s="4"/>
      <c r="C271" s="4" t="s">
        <v>286</v>
      </c>
      <c r="D271" s="4" t="s">
        <v>557</v>
      </c>
      <c r="E271" s="4" t="s">
        <v>591</v>
      </c>
      <c r="F271" s="20">
        <v>60</v>
      </c>
      <c r="G271" s="88"/>
      <c r="H271" s="20">
        <f>F271*AO271</f>
        <v>0</v>
      </c>
      <c r="I271" s="20">
        <f>F271*AP271</f>
        <v>0</v>
      </c>
      <c r="J271" s="20">
        <f>F271*G271</f>
        <v>0</v>
      </c>
      <c r="K271" s="41">
        <f>IF(J305=0,0,J271/J305)</f>
        <v>0</v>
      </c>
      <c r="L271" s="20">
        <v>4.7820000000000001E-2</v>
      </c>
      <c r="M271" s="20">
        <f>F271*L271</f>
        <v>2.8692000000000002</v>
      </c>
      <c r="N271" s="31" t="s">
        <v>620</v>
      </c>
      <c r="Z271" s="35">
        <f>IF(AQ271="5",BJ271,0)</f>
        <v>0</v>
      </c>
      <c r="AB271" s="35">
        <f>IF(AQ271="1",BH271,0)</f>
        <v>0</v>
      </c>
      <c r="AC271" s="35">
        <f>IF(AQ271="1",BI271,0)</f>
        <v>0</v>
      </c>
      <c r="AD271" s="35">
        <f>IF(AQ271="7",BH271,0)</f>
        <v>0</v>
      </c>
      <c r="AE271" s="35">
        <f>IF(AQ271="7",BI271,0)</f>
        <v>0</v>
      </c>
      <c r="AF271" s="35">
        <f>IF(AQ271="2",BH271,0)</f>
        <v>0</v>
      </c>
      <c r="AG271" s="35">
        <f>IF(AQ271="2",BI271,0)</f>
        <v>0</v>
      </c>
      <c r="AH271" s="35">
        <f>IF(AQ271="0",BJ271,0)</f>
        <v>0</v>
      </c>
      <c r="AI271" s="27"/>
      <c r="AJ271" s="20">
        <f>IF(AN271=0,J271,0)</f>
        <v>0</v>
      </c>
      <c r="AK271" s="20">
        <f>IF(AN271=15,J271,0)</f>
        <v>0</v>
      </c>
      <c r="AL271" s="20">
        <f>IF(AN271=21,J271,0)</f>
        <v>0</v>
      </c>
      <c r="AN271" s="35">
        <v>21</v>
      </c>
      <c r="AO271" s="35">
        <f>G271*0.12379746835443</f>
        <v>0</v>
      </c>
      <c r="AP271" s="35">
        <f>G271*(1-0.12379746835443)</f>
        <v>0</v>
      </c>
      <c r="AQ271" s="31" t="s">
        <v>7</v>
      </c>
      <c r="AV271" s="35">
        <f>AW271+AX271</f>
        <v>0</v>
      </c>
      <c r="AW271" s="35">
        <f>F271*AO271</f>
        <v>0</v>
      </c>
      <c r="AX271" s="35">
        <f>F271*AP271</f>
        <v>0</v>
      </c>
      <c r="AY271" s="36" t="s">
        <v>662</v>
      </c>
      <c r="AZ271" s="36" t="s">
        <v>680</v>
      </c>
      <c r="BA271" s="27" t="s">
        <v>681</v>
      </c>
      <c r="BC271" s="35">
        <f>AW271+AX271</f>
        <v>0</v>
      </c>
      <c r="BD271" s="35">
        <f>G271/(100-BE271)*100</f>
        <v>0</v>
      </c>
      <c r="BE271" s="35">
        <v>0</v>
      </c>
      <c r="BF271" s="35">
        <f>M271</f>
        <v>2.8692000000000002</v>
      </c>
      <c r="BH271" s="20">
        <f>F271*AO271</f>
        <v>0</v>
      </c>
      <c r="BI271" s="20">
        <f>F271*AP271</f>
        <v>0</v>
      </c>
      <c r="BJ271" s="20">
        <f>F271*G271</f>
        <v>0</v>
      </c>
    </row>
    <row r="272" spans="1:62" x14ac:dyDescent="0.25">
      <c r="D272" s="17" t="s">
        <v>558</v>
      </c>
    </row>
    <row r="273" spans="1:62" x14ac:dyDescent="0.25">
      <c r="C273" s="14" t="s">
        <v>151</v>
      </c>
      <c r="D273" s="141" t="s">
        <v>559</v>
      </c>
      <c r="E273" s="142"/>
      <c r="F273" s="142"/>
      <c r="G273" s="142"/>
      <c r="H273" s="142"/>
      <c r="I273" s="142"/>
      <c r="J273" s="142"/>
      <c r="K273" s="142"/>
      <c r="L273" s="142"/>
      <c r="M273" s="142"/>
      <c r="N273" s="142"/>
    </row>
    <row r="274" spans="1:62" x14ac:dyDescent="0.25">
      <c r="A274" s="4" t="s">
        <v>131</v>
      </c>
      <c r="B274" s="4"/>
      <c r="C274" s="4" t="s">
        <v>287</v>
      </c>
      <c r="D274" s="4" t="s">
        <v>560</v>
      </c>
      <c r="E274" s="4" t="s">
        <v>591</v>
      </c>
      <c r="F274" s="20">
        <v>117.65</v>
      </c>
      <c r="G274" s="88"/>
      <c r="H274" s="20">
        <f>F274*AO274</f>
        <v>0</v>
      </c>
      <c r="I274" s="20">
        <f>F274*AP274</f>
        <v>0</v>
      </c>
      <c r="J274" s="20">
        <f>F274*G274</f>
        <v>0</v>
      </c>
      <c r="K274" s="41">
        <f>IF(J305=0,0,J274/J305)</f>
        <v>0</v>
      </c>
      <c r="L274" s="20">
        <v>0</v>
      </c>
      <c r="M274" s="20">
        <f>F274*L274</f>
        <v>0</v>
      </c>
      <c r="N274" s="31" t="s">
        <v>620</v>
      </c>
      <c r="Z274" s="35">
        <f>IF(AQ274="5",BJ274,0)</f>
        <v>0</v>
      </c>
      <c r="AB274" s="35">
        <f>IF(AQ274="1",BH274,0)</f>
        <v>0</v>
      </c>
      <c r="AC274" s="35">
        <f>IF(AQ274="1",BI274,0)</f>
        <v>0</v>
      </c>
      <c r="AD274" s="35">
        <f>IF(AQ274="7",BH274,0)</f>
        <v>0</v>
      </c>
      <c r="AE274" s="35">
        <f>IF(AQ274="7",BI274,0)</f>
        <v>0</v>
      </c>
      <c r="AF274" s="35">
        <f>IF(AQ274="2",BH274,0)</f>
        <v>0</v>
      </c>
      <c r="AG274" s="35">
        <f>IF(AQ274="2",BI274,0)</f>
        <v>0</v>
      </c>
      <c r="AH274" s="35">
        <f>IF(AQ274="0",BJ274,0)</f>
        <v>0</v>
      </c>
      <c r="AI274" s="27"/>
      <c r="AJ274" s="20">
        <f>IF(AN274=0,J274,0)</f>
        <v>0</v>
      </c>
      <c r="AK274" s="20">
        <f>IF(AN274=15,J274,0)</f>
        <v>0</v>
      </c>
      <c r="AL274" s="20">
        <f>IF(AN274=21,J274,0)</f>
        <v>0</v>
      </c>
      <c r="AN274" s="35">
        <v>21</v>
      </c>
      <c r="AO274" s="35">
        <f>G274*0</f>
        <v>0</v>
      </c>
      <c r="AP274" s="35">
        <f>G274*(1-0)</f>
        <v>0</v>
      </c>
      <c r="AQ274" s="31" t="s">
        <v>7</v>
      </c>
      <c r="AV274" s="35">
        <f>AW274+AX274</f>
        <v>0</v>
      </c>
      <c r="AW274" s="35">
        <f>F274*AO274</f>
        <v>0</v>
      </c>
      <c r="AX274" s="35">
        <f>F274*AP274</f>
        <v>0</v>
      </c>
      <c r="AY274" s="36" t="s">
        <v>662</v>
      </c>
      <c r="AZ274" s="36" t="s">
        <v>680</v>
      </c>
      <c r="BA274" s="27" t="s">
        <v>681</v>
      </c>
      <c r="BC274" s="35">
        <f>AW274+AX274</f>
        <v>0</v>
      </c>
      <c r="BD274" s="35">
        <f>G274/(100-BE274)*100</f>
        <v>0</v>
      </c>
      <c r="BE274" s="35">
        <v>0</v>
      </c>
      <c r="BF274" s="35">
        <f>M274</f>
        <v>0</v>
      </c>
      <c r="BH274" s="20">
        <f>F274*AO274</f>
        <v>0</v>
      </c>
      <c r="BI274" s="20">
        <f>F274*AP274</f>
        <v>0</v>
      </c>
      <c r="BJ274" s="20">
        <f>F274*G274</f>
        <v>0</v>
      </c>
    </row>
    <row r="275" spans="1:62" x14ac:dyDescent="0.25">
      <c r="A275" s="4" t="s">
        <v>132</v>
      </c>
      <c r="B275" s="4"/>
      <c r="C275" s="4" t="s">
        <v>288</v>
      </c>
      <c r="D275" s="4" t="s">
        <v>561</v>
      </c>
      <c r="E275" s="4" t="s">
        <v>592</v>
      </c>
      <c r="F275" s="20">
        <v>5.4126000000000003</v>
      </c>
      <c r="G275" s="88"/>
      <c r="H275" s="20">
        <f>F275*AO275</f>
        <v>0</v>
      </c>
      <c r="I275" s="20">
        <f>F275*AP275</f>
        <v>0</v>
      </c>
      <c r="J275" s="20">
        <f>F275*G275</f>
        <v>0</v>
      </c>
      <c r="K275" s="41">
        <f>IF(J305=0,0,J275/J305)</f>
        <v>0</v>
      </c>
      <c r="L275" s="20">
        <v>1.80182</v>
      </c>
      <c r="M275" s="20">
        <f>F275*L275</f>
        <v>9.7525309320000009</v>
      </c>
      <c r="N275" s="31" t="s">
        <v>620</v>
      </c>
      <c r="Z275" s="35">
        <f>IF(AQ275="5",BJ275,0)</f>
        <v>0</v>
      </c>
      <c r="AB275" s="35">
        <f>IF(AQ275="1",BH275,0)</f>
        <v>0</v>
      </c>
      <c r="AC275" s="35">
        <f>IF(AQ275="1",BI275,0)</f>
        <v>0</v>
      </c>
      <c r="AD275" s="35">
        <f>IF(AQ275="7",BH275,0)</f>
        <v>0</v>
      </c>
      <c r="AE275" s="35">
        <f>IF(AQ275="7",BI275,0)</f>
        <v>0</v>
      </c>
      <c r="AF275" s="35">
        <f>IF(AQ275="2",BH275,0)</f>
        <v>0</v>
      </c>
      <c r="AG275" s="35">
        <f>IF(AQ275="2",BI275,0)</f>
        <v>0</v>
      </c>
      <c r="AH275" s="35">
        <f>IF(AQ275="0",BJ275,0)</f>
        <v>0</v>
      </c>
      <c r="AI275" s="27"/>
      <c r="AJ275" s="20">
        <f>IF(AN275=0,J275,0)</f>
        <v>0</v>
      </c>
      <c r="AK275" s="20">
        <f>IF(AN275=15,J275,0)</f>
        <v>0</v>
      </c>
      <c r="AL275" s="20">
        <f>IF(AN275=21,J275,0)</f>
        <v>0</v>
      </c>
      <c r="AN275" s="35">
        <v>21</v>
      </c>
      <c r="AO275" s="35">
        <f>G275*0.0379859845757856</f>
        <v>0</v>
      </c>
      <c r="AP275" s="35">
        <f>G275*(1-0.0379859845757856)</f>
        <v>0</v>
      </c>
      <c r="AQ275" s="31" t="s">
        <v>7</v>
      </c>
      <c r="AV275" s="35">
        <f>AW275+AX275</f>
        <v>0</v>
      </c>
      <c r="AW275" s="35">
        <f>F275*AO275</f>
        <v>0</v>
      </c>
      <c r="AX275" s="35">
        <f>F275*AP275</f>
        <v>0</v>
      </c>
      <c r="AY275" s="36" t="s">
        <v>662</v>
      </c>
      <c r="AZ275" s="36" t="s">
        <v>680</v>
      </c>
      <c r="BA275" s="27" t="s">
        <v>681</v>
      </c>
      <c r="BC275" s="35">
        <f>AW275+AX275</f>
        <v>0</v>
      </c>
      <c r="BD275" s="35">
        <f>G275/(100-BE275)*100</f>
        <v>0</v>
      </c>
      <c r="BE275" s="35">
        <v>0</v>
      </c>
      <c r="BF275" s="35">
        <f>M275</f>
        <v>9.7525309320000009</v>
      </c>
      <c r="BH275" s="20">
        <f>F275*AO275</f>
        <v>0</v>
      </c>
      <c r="BI275" s="20">
        <f>F275*AP275</f>
        <v>0</v>
      </c>
      <c r="BJ275" s="20">
        <f>F275*G275</f>
        <v>0</v>
      </c>
    </row>
    <row r="276" spans="1:62" x14ac:dyDescent="0.25">
      <c r="C276" s="14" t="s">
        <v>151</v>
      </c>
      <c r="D276" s="141" t="s">
        <v>555</v>
      </c>
      <c r="E276" s="142"/>
      <c r="F276" s="142"/>
      <c r="G276" s="142"/>
      <c r="H276" s="142"/>
      <c r="I276" s="142"/>
      <c r="J276" s="142"/>
      <c r="K276" s="142"/>
      <c r="L276" s="142"/>
      <c r="M276" s="142"/>
      <c r="N276" s="142"/>
    </row>
    <row r="277" spans="1:62" x14ac:dyDescent="0.25">
      <c r="A277" s="4" t="s">
        <v>133</v>
      </c>
      <c r="B277" s="4"/>
      <c r="C277" s="4" t="s">
        <v>289</v>
      </c>
      <c r="D277" s="4" t="s">
        <v>562</v>
      </c>
      <c r="E277" s="4" t="s">
        <v>592</v>
      </c>
      <c r="F277" s="20">
        <v>1.121</v>
      </c>
      <c r="G277" s="88"/>
      <c r="H277" s="20">
        <f>F277*AO277</f>
        <v>0</v>
      </c>
      <c r="I277" s="20">
        <f>F277*AP277</f>
        <v>0</v>
      </c>
      <c r="J277" s="20">
        <f>F277*G277</f>
        <v>0</v>
      </c>
      <c r="K277" s="41">
        <f>IF(J305=0,0,J277/J305)</f>
        <v>0</v>
      </c>
      <c r="L277" s="20">
        <v>2.4</v>
      </c>
      <c r="M277" s="20">
        <f>F277*L277</f>
        <v>2.6903999999999999</v>
      </c>
      <c r="N277" s="31" t="s">
        <v>620</v>
      </c>
      <c r="Z277" s="35">
        <f>IF(AQ277="5",BJ277,0)</f>
        <v>0</v>
      </c>
      <c r="AB277" s="35">
        <f>IF(AQ277="1",BH277,0)</f>
        <v>0</v>
      </c>
      <c r="AC277" s="35">
        <f>IF(AQ277="1",BI277,0)</f>
        <v>0</v>
      </c>
      <c r="AD277" s="35">
        <f>IF(AQ277="7",BH277,0)</f>
        <v>0</v>
      </c>
      <c r="AE277" s="35">
        <f>IF(AQ277="7",BI277,0)</f>
        <v>0</v>
      </c>
      <c r="AF277" s="35">
        <f>IF(AQ277="2",BH277,0)</f>
        <v>0</v>
      </c>
      <c r="AG277" s="35">
        <f>IF(AQ277="2",BI277,0)</f>
        <v>0</v>
      </c>
      <c r="AH277" s="35">
        <f>IF(AQ277="0",BJ277,0)</f>
        <v>0</v>
      </c>
      <c r="AI277" s="27"/>
      <c r="AJ277" s="20">
        <f>IF(AN277=0,J277,0)</f>
        <v>0</v>
      </c>
      <c r="AK277" s="20">
        <f>IF(AN277=15,J277,0)</f>
        <v>0</v>
      </c>
      <c r="AL277" s="20">
        <f>IF(AN277=21,J277,0)</f>
        <v>0</v>
      </c>
      <c r="AN277" s="35">
        <v>21</v>
      </c>
      <c r="AO277" s="35">
        <f>G277*0</f>
        <v>0</v>
      </c>
      <c r="AP277" s="35">
        <f>G277*(1-0)</f>
        <v>0</v>
      </c>
      <c r="AQ277" s="31" t="s">
        <v>7</v>
      </c>
      <c r="AV277" s="35">
        <f>AW277+AX277</f>
        <v>0</v>
      </c>
      <c r="AW277" s="35">
        <f>F277*AO277</f>
        <v>0</v>
      </c>
      <c r="AX277" s="35">
        <f>F277*AP277</f>
        <v>0</v>
      </c>
      <c r="AY277" s="36" t="s">
        <v>662</v>
      </c>
      <c r="AZ277" s="36" t="s">
        <v>680</v>
      </c>
      <c r="BA277" s="27" t="s">
        <v>681</v>
      </c>
      <c r="BC277" s="35">
        <f>AW277+AX277</f>
        <v>0</v>
      </c>
      <c r="BD277" s="35">
        <f>G277/(100-BE277)*100</f>
        <v>0</v>
      </c>
      <c r="BE277" s="35">
        <v>0</v>
      </c>
      <c r="BF277" s="35">
        <f>M277</f>
        <v>2.6903999999999999</v>
      </c>
      <c r="BH277" s="20">
        <f>F277*AO277</f>
        <v>0</v>
      </c>
      <c r="BI277" s="20">
        <f>F277*AP277</f>
        <v>0</v>
      </c>
      <c r="BJ277" s="20">
        <f>F277*G277</f>
        <v>0</v>
      </c>
    </row>
    <row r="278" spans="1:62" x14ac:dyDescent="0.25">
      <c r="C278" s="14" t="s">
        <v>151</v>
      </c>
      <c r="D278" s="141" t="s">
        <v>555</v>
      </c>
      <c r="E278" s="142"/>
      <c r="F278" s="142"/>
      <c r="G278" s="142"/>
      <c r="H278" s="142"/>
      <c r="I278" s="142"/>
      <c r="J278" s="142"/>
      <c r="K278" s="142"/>
      <c r="L278" s="142"/>
      <c r="M278" s="142"/>
      <c r="N278" s="142"/>
    </row>
    <row r="279" spans="1:62" x14ac:dyDescent="0.25">
      <c r="A279" s="5"/>
      <c r="B279" s="13"/>
      <c r="C279" s="13" t="s">
        <v>104</v>
      </c>
      <c r="D279" s="13" t="s">
        <v>563</v>
      </c>
      <c r="E279" s="5" t="s">
        <v>6</v>
      </c>
      <c r="F279" s="5" t="s">
        <v>6</v>
      </c>
      <c r="G279" s="90" t="s">
        <v>6</v>
      </c>
      <c r="H279" s="38">
        <f>SUM(H280:H280)</f>
        <v>0</v>
      </c>
      <c r="I279" s="38">
        <f>SUM(I280:I280)</f>
        <v>0</v>
      </c>
      <c r="J279" s="38">
        <f>SUM(J280:J280)</f>
        <v>0</v>
      </c>
      <c r="K279" s="42">
        <f>IF(J305=0,0,J279/J305)</f>
        <v>0</v>
      </c>
      <c r="L279" s="27"/>
      <c r="M279" s="38">
        <f>SUM(M280:M280)</f>
        <v>57.615316154999995</v>
      </c>
      <c r="N279" s="27"/>
      <c r="AI279" s="27"/>
      <c r="AS279" s="38">
        <f>SUM(AJ280:AJ280)</f>
        <v>0</v>
      </c>
      <c r="AT279" s="38">
        <f>SUM(AK280:AK280)</f>
        <v>0</v>
      </c>
      <c r="AU279" s="38">
        <f>SUM(AL280:AL280)</f>
        <v>0</v>
      </c>
    </row>
    <row r="280" spans="1:62" x14ac:dyDescent="0.25">
      <c r="A280" s="4" t="s">
        <v>134</v>
      </c>
      <c r="B280" s="4"/>
      <c r="C280" s="4" t="s">
        <v>290</v>
      </c>
      <c r="D280" s="4" t="s">
        <v>564</v>
      </c>
      <c r="E280" s="4" t="s">
        <v>592</v>
      </c>
      <c r="F280" s="20">
        <v>28.7865</v>
      </c>
      <c r="G280" s="88"/>
      <c r="H280" s="20">
        <f>F280*AO280</f>
        <v>0</v>
      </c>
      <c r="I280" s="20">
        <f>F280*AP280</f>
        <v>0</v>
      </c>
      <c r="J280" s="20">
        <f>F280*G280</f>
        <v>0</v>
      </c>
      <c r="K280" s="41">
        <f>IF(J305=0,0,J280/J305)</f>
        <v>0</v>
      </c>
      <c r="L280" s="20">
        <v>2.0014699999999999</v>
      </c>
      <c r="M280" s="20">
        <f>F280*L280</f>
        <v>57.615316154999995</v>
      </c>
      <c r="N280" s="31" t="s">
        <v>620</v>
      </c>
      <c r="Z280" s="35">
        <f>IF(AQ280="5",BJ280,0)</f>
        <v>0</v>
      </c>
      <c r="AB280" s="35">
        <f>IF(AQ280="1",BH280,0)</f>
        <v>0</v>
      </c>
      <c r="AC280" s="35">
        <f>IF(AQ280="1",BI280,0)</f>
        <v>0</v>
      </c>
      <c r="AD280" s="35">
        <f>IF(AQ280="7",BH280,0)</f>
        <v>0</v>
      </c>
      <c r="AE280" s="35">
        <f>IF(AQ280="7",BI280,0)</f>
        <v>0</v>
      </c>
      <c r="AF280" s="35">
        <f>IF(AQ280="2",BH280,0)</f>
        <v>0</v>
      </c>
      <c r="AG280" s="35">
        <f>IF(AQ280="2",BI280,0)</f>
        <v>0</v>
      </c>
      <c r="AH280" s="35">
        <f>IF(AQ280="0",BJ280,0)</f>
        <v>0</v>
      </c>
      <c r="AI280" s="27"/>
      <c r="AJ280" s="20">
        <f>IF(AN280=0,J280,0)</f>
        <v>0</v>
      </c>
      <c r="AK280" s="20">
        <f>IF(AN280=15,J280,0)</f>
        <v>0</v>
      </c>
      <c r="AL280" s="20">
        <f>IF(AN280=21,J280,0)</f>
        <v>0</v>
      </c>
      <c r="AN280" s="35">
        <v>21</v>
      </c>
      <c r="AO280" s="35">
        <f>G280*0.00219040587598102</f>
        <v>0</v>
      </c>
      <c r="AP280" s="35">
        <f>G280*(1-0.00219040587598102)</f>
        <v>0</v>
      </c>
      <c r="AQ280" s="31" t="s">
        <v>7</v>
      </c>
      <c r="AV280" s="35">
        <f>AW280+AX280</f>
        <v>0</v>
      </c>
      <c r="AW280" s="35">
        <f>F280*AO280</f>
        <v>0</v>
      </c>
      <c r="AX280" s="35">
        <f>F280*AP280</f>
        <v>0</v>
      </c>
      <c r="AY280" s="36" t="s">
        <v>663</v>
      </c>
      <c r="AZ280" s="36" t="s">
        <v>680</v>
      </c>
      <c r="BA280" s="27" t="s">
        <v>681</v>
      </c>
      <c r="BC280" s="35">
        <f>AW280+AX280</f>
        <v>0</v>
      </c>
      <c r="BD280" s="35">
        <f>G280/(100-BE280)*100</f>
        <v>0</v>
      </c>
      <c r="BE280" s="35">
        <v>0</v>
      </c>
      <c r="BF280" s="35">
        <f>M280</f>
        <v>57.615316154999995</v>
      </c>
      <c r="BH280" s="20">
        <f>F280*AO280</f>
        <v>0</v>
      </c>
      <c r="BI280" s="20">
        <f>F280*AP280</f>
        <v>0</v>
      </c>
      <c r="BJ280" s="20">
        <f>F280*G280</f>
        <v>0</v>
      </c>
    </row>
    <row r="281" spans="1:62" x14ac:dyDescent="0.25">
      <c r="D281" s="17" t="s">
        <v>565</v>
      </c>
    </row>
    <row r="282" spans="1:62" x14ac:dyDescent="0.25">
      <c r="A282" s="5"/>
      <c r="B282" s="13"/>
      <c r="C282" s="13" t="s">
        <v>291</v>
      </c>
      <c r="D282" s="13" t="s">
        <v>566</v>
      </c>
      <c r="E282" s="5" t="s">
        <v>6</v>
      </c>
      <c r="F282" s="5" t="s">
        <v>6</v>
      </c>
      <c r="G282" s="90" t="s">
        <v>6</v>
      </c>
      <c r="H282" s="38">
        <f>SUM(H283:H283)</f>
        <v>0</v>
      </c>
      <c r="I282" s="38">
        <f>SUM(I283:I283)</f>
        <v>0</v>
      </c>
      <c r="J282" s="38">
        <f>SUM(J283:J283)</f>
        <v>0</v>
      </c>
      <c r="K282" s="42">
        <f>IF(J305=0,0,J282/J305)</f>
        <v>0</v>
      </c>
      <c r="L282" s="27"/>
      <c r="M282" s="38">
        <f>SUM(M283:M283)</f>
        <v>0</v>
      </c>
      <c r="N282" s="27"/>
      <c r="AI282" s="27"/>
      <c r="AS282" s="38">
        <f>SUM(AJ283:AJ283)</f>
        <v>0</v>
      </c>
      <c r="AT282" s="38">
        <f>SUM(AK283:AK283)</f>
        <v>0</v>
      </c>
      <c r="AU282" s="38">
        <f>SUM(AL283:AL283)</f>
        <v>0</v>
      </c>
    </row>
    <row r="283" spans="1:62" x14ac:dyDescent="0.25">
      <c r="A283" s="4" t="s">
        <v>135</v>
      </c>
      <c r="B283" s="4"/>
      <c r="C283" s="4" t="s">
        <v>292</v>
      </c>
      <c r="D283" s="4" t="s">
        <v>567</v>
      </c>
      <c r="E283" s="4" t="s">
        <v>593</v>
      </c>
      <c r="F283" s="20">
        <v>332.38783999999998</v>
      </c>
      <c r="G283" s="88"/>
      <c r="H283" s="20">
        <f>F283*AO283</f>
        <v>0</v>
      </c>
      <c r="I283" s="20">
        <f>F283*AP283</f>
        <v>0</v>
      </c>
      <c r="J283" s="20">
        <f>F283*G283</f>
        <v>0</v>
      </c>
      <c r="K283" s="41">
        <f>IF(J305=0,0,J283/J305)</f>
        <v>0</v>
      </c>
      <c r="L283" s="20">
        <v>0</v>
      </c>
      <c r="M283" s="20">
        <f>F283*L283</f>
        <v>0</v>
      </c>
      <c r="N283" s="31" t="s">
        <v>620</v>
      </c>
      <c r="Z283" s="35">
        <f>IF(AQ283="5",BJ283,0)</f>
        <v>0</v>
      </c>
      <c r="AB283" s="35">
        <f>IF(AQ283="1",BH283,0)</f>
        <v>0</v>
      </c>
      <c r="AC283" s="35">
        <f>IF(AQ283="1",BI283,0)</f>
        <v>0</v>
      </c>
      <c r="AD283" s="35">
        <f>IF(AQ283="7",BH283,0)</f>
        <v>0</v>
      </c>
      <c r="AE283" s="35">
        <f>IF(AQ283="7",BI283,0)</f>
        <v>0</v>
      </c>
      <c r="AF283" s="35">
        <f>IF(AQ283="2",BH283,0)</f>
        <v>0</v>
      </c>
      <c r="AG283" s="35">
        <f>IF(AQ283="2",BI283,0)</f>
        <v>0</v>
      </c>
      <c r="AH283" s="35">
        <f>IF(AQ283="0",BJ283,0)</f>
        <v>0</v>
      </c>
      <c r="AI283" s="27"/>
      <c r="AJ283" s="20">
        <f>IF(AN283=0,J283,0)</f>
        <v>0</v>
      </c>
      <c r="AK283" s="20">
        <f>IF(AN283=15,J283,0)</f>
        <v>0</v>
      </c>
      <c r="AL283" s="20">
        <f>IF(AN283=21,J283,0)</f>
        <v>0</v>
      </c>
      <c r="AN283" s="35">
        <v>21</v>
      </c>
      <c r="AO283" s="35">
        <f>G283*0</f>
        <v>0</v>
      </c>
      <c r="AP283" s="35">
        <f>G283*(1-0)</f>
        <v>0</v>
      </c>
      <c r="AQ283" s="31" t="s">
        <v>11</v>
      </c>
      <c r="AV283" s="35">
        <f>AW283+AX283</f>
        <v>0</v>
      </c>
      <c r="AW283" s="35">
        <f>F283*AO283</f>
        <v>0</v>
      </c>
      <c r="AX283" s="35">
        <f>F283*AP283</f>
        <v>0</v>
      </c>
      <c r="AY283" s="36" t="s">
        <v>664</v>
      </c>
      <c r="AZ283" s="36" t="s">
        <v>680</v>
      </c>
      <c r="BA283" s="27" t="s">
        <v>681</v>
      </c>
      <c r="BC283" s="35">
        <f>AW283+AX283</f>
        <v>0</v>
      </c>
      <c r="BD283" s="35">
        <f>G283/(100-BE283)*100</f>
        <v>0</v>
      </c>
      <c r="BE283" s="35">
        <v>0</v>
      </c>
      <c r="BF283" s="35">
        <f>M283</f>
        <v>0</v>
      </c>
      <c r="BH283" s="20">
        <f>F283*AO283</f>
        <v>0</v>
      </c>
      <c r="BI283" s="20">
        <f>F283*AP283</f>
        <v>0</v>
      </c>
      <c r="BJ283" s="20">
        <f>F283*G283</f>
        <v>0</v>
      </c>
    </row>
    <row r="284" spans="1:62" x14ac:dyDescent="0.25">
      <c r="A284" s="5"/>
      <c r="B284" s="13"/>
      <c r="C284" s="13" t="s">
        <v>293</v>
      </c>
      <c r="D284" s="13" t="s">
        <v>568</v>
      </c>
      <c r="E284" s="5" t="s">
        <v>6</v>
      </c>
      <c r="F284" s="5" t="s">
        <v>6</v>
      </c>
      <c r="G284" s="90" t="s">
        <v>6</v>
      </c>
      <c r="H284" s="38">
        <f>SUM(H285:H285)</f>
        <v>0</v>
      </c>
      <c r="I284" s="38">
        <f>SUM(I285:I285)</f>
        <v>0</v>
      </c>
      <c r="J284" s="38">
        <f>SUM(J285:J285)</f>
        <v>0</v>
      </c>
      <c r="K284" s="42">
        <f>IF(J305=0,0,J284/J305)</f>
        <v>0</v>
      </c>
      <c r="L284" s="27"/>
      <c r="M284" s="38">
        <f>SUM(M285:M285)</f>
        <v>0</v>
      </c>
      <c r="N284" s="27"/>
      <c r="AI284" s="27"/>
      <c r="AS284" s="38">
        <f>SUM(AJ285:AJ285)</f>
        <v>0</v>
      </c>
      <c r="AT284" s="38">
        <f>SUM(AK285:AK285)</f>
        <v>0</v>
      </c>
      <c r="AU284" s="38">
        <f>SUM(AL285:AL285)</f>
        <v>0</v>
      </c>
    </row>
    <row r="285" spans="1:62" x14ac:dyDescent="0.25">
      <c r="A285" s="4" t="s">
        <v>136</v>
      </c>
      <c r="B285" s="4"/>
      <c r="C285" s="4" t="s">
        <v>294</v>
      </c>
      <c r="D285" s="4" t="s">
        <v>569</v>
      </c>
      <c r="E285" s="4" t="s">
        <v>599</v>
      </c>
      <c r="F285" s="20">
        <v>1</v>
      </c>
      <c r="G285" s="88"/>
      <c r="H285" s="20">
        <f>F285*AO285</f>
        <v>0</v>
      </c>
      <c r="I285" s="20">
        <f>F285*AP285</f>
        <v>0</v>
      </c>
      <c r="J285" s="20">
        <f>F285*G285</f>
        <v>0</v>
      </c>
      <c r="K285" s="41">
        <f>IF(J305=0,0,J285/J305)</f>
        <v>0</v>
      </c>
      <c r="L285" s="20">
        <v>0</v>
      </c>
      <c r="M285" s="20">
        <f>F285*L285</f>
        <v>0</v>
      </c>
      <c r="N285" s="31" t="s">
        <v>620</v>
      </c>
      <c r="Z285" s="35">
        <f>IF(AQ285="5",BJ285,0)</f>
        <v>0</v>
      </c>
      <c r="AB285" s="35">
        <f>IF(AQ285="1",BH285,0)</f>
        <v>0</v>
      </c>
      <c r="AC285" s="35">
        <f>IF(AQ285="1",BI285,0)</f>
        <v>0</v>
      </c>
      <c r="AD285" s="35">
        <f>IF(AQ285="7",BH285,0)</f>
        <v>0</v>
      </c>
      <c r="AE285" s="35">
        <f>IF(AQ285="7",BI285,0)</f>
        <v>0</v>
      </c>
      <c r="AF285" s="35">
        <f>IF(AQ285="2",BH285,0)</f>
        <v>0</v>
      </c>
      <c r="AG285" s="35">
        <f>IF(AQ285="2",BI285,0)</f>
        <v>0</v>
      </c>
      <c r="AH285" s="35">
        <f>IF(AQ285="0",BJ285,0)</f>
        <v>0</v>
      </c>
      <c r="AI285" s="27"/>
      <c r="AJ285" s="20">
        <f>IF(AN285=0,J285,0)</f>
        <v>0</v>
      </c>
      <c r="AK285" s="20">
        <f>IF(AN285=15,J285,0)</f>
        <v>0</v>
      </c>
      <c r="AL285" s="20">
        <f>IF(AN285=21,J285,0)</f>
        <v>0</v>
      </c>
      <c r="AN285" s="35">
        <v>21</v>
      </c>
      <c r="AO285" s="35">
        <f>G285*1.00000000125494</f>
        <v>0</v>
      </c>
      <c r="AP285" s="35">
        <f>G285*(1-1.00000000125494)</f>
        <v>0</v>
      </c>
      <c r="AQ285" s="31" t="s">
        <v>8</v>
      </c>
      <c r="AV285" s="35">
        <f>AW285+AX285</f>
        <v>0</v>
      </c>
      <c r="AW285" s="35">
        <f>F285*AO285</f>
        <v>0</v>
      </c>
      <c r="AX285" s="35">
        <f>F285*AP285</f>
        <v>0</v>
      </c>
      <c r="AY285" s="36" t="s">
        <v>665</v>
      </c>
      <c r="AZ285" s="36" t="s">
        <v>680</v>
      </c>
      <c r="BA285" s="27" t="s">
        <v>681</v>
      </c>
      <c r="BC285" s="35">
        <f>AW285+AX285</f>
        <v>0</v>
      </c>
      <c r="BD285" s="35">
        <f>G285/(100-BE285)*100</f>
        <v>0</v>
      </c>
      <c r="BE285" s="35">
        <v>16.89</v>
      </c>
      <c r="BF285" s="35">
        <f>M285</f>
        <v>0</v>
      </c>
      <c r="BH285" s="20">
        <f>F285*AO285</f>
        <v>0</v>
      </c>
      <c r="BI285" s="20">
        <f>F285*AP285</f>
        <v>0</v>
      </c>
      <c r="BJ285" s="20">
        <f>F285*G285</f>
        <v>0</v>
      </c>
    </row>
    <row r="286" spans="1:62" x14ac:dyDescent="0.25">
      <c r="D286" s="17" t="s">
        <v>570</v>
      </c>
    </row>
    <row r="287" spans="1:62" x14ac:dyDescent="0.25">
      <c r="A287" s="5"/>
      <c r="B287" s="13"/>
      <c r="C287" s="13" t="s">
        <v>295</v>
      </c>
      <c r="D287" s="13" t="s">
        <v>571</v>
      </c>
      <c r="E287" s="5" t="s">
        <v>6</v>
      </c>
      <c r="F287" s="5" t="s">
        <v>6</v>
      </c>
      <c r="G287" s="90" t="s">
        <v>6</v>
      </c>
      <c r="H287" s="38">
        <f>SUM(H288:H290)</f>
        <v>0</v>
      </c>
      <c r="I287" s="38">
        <f>SUM(I288:I290)</f>
        <v>0</v>
      </c>
      <c r="J287" s="38">
        <f>SUM(J288:J290)</f>
        <v>0</v>
      </c>
      <c r="K287" s="42">
        <f>IF(J305=0,0,J287/J305)</f>
        <v>0</v>
      </c>
      <c r="L287" s="27"/>
      <c r="M287" s="38">
        <f>SUM(M288:M290)</f>
        <v>0.120888</v>
      </c>
      <c r="N287" s="27"/>
      <c r="AI287" s="27"/>
      <c r="AS287" s="38">
        <f>SUM(AJ288:AJ290)</f>
        <v>0</v>
      </c>
      <c r="AT287" s="38">
        <f>SUM(AK288:AK290)</f>
        <v>0</v>
      </c>
      <c r="AU287" s="38">
        <f>SUM(AL288:AL290)</f>
        <v>0</v>
      </c>
    </row>
    <row r="288" spans="1:62" x14ac:dyDescent="0.25">
      <c r="A288" s="4" t="s">
        <v>137</v>
      </c>
      <c r="B288" s="4"/>
      <c r="C288" s="4" t="s">
        <v>296</v>
      </c>
      <c r="D288" s="4" t="s">
        <v>572</v>
      </c>
      <c r="E288" s="4" t="s">
        <v>591</v>
      </c>
      <c r="F288" s="20">
        <v>3.6</v>
      </c>
      <c r="G288" s="88"/>
      <c r="H288" s="20">
        <f>F288*AO288</f>
        <v>0</v>
      </c>
      <c r="I288" s="20">
        <f>F288*AP288</f>
        <v>0</v>
      </c>
      <c r="J288" s="20">
        <f>F288*G288</f>
        <v>0</v>
      </c>
      <c r="K288" s="41">
        <f>IF(J305=0,0,J288/J305)</f>
        <v>0</v>
      </c>
      <c r="L288" s="20">
        <v>0</v>
      </c>
      <c r="M288" s="20">
        <f>F288*L288</f>
        <v>0</v>
      </c>
      <c r="N288" s="31" t="s">
        <v>620</v>
      </c>
      <c r="Z288" s="35">
        <f>IF(AQ288="5",BJ288,0)</f>
        <v>0</v>
      </c>
      <c r="AB288" s="35">
        <f>IF(AQ288="1",BH288,0)</f>
        <v>0</v>
      </c>
      <c r="AC288" s="35">
        <f>IF(AQ288="1",BI288,0)</f>
        <v>0</v>
      </c>
      <c r="AD288" s="35">
        <f>IF(AQ288="7",BH288,0)</f>
        <v>0</v>
      </c>
      <c r="AE288" s="35">
        <f>IF(AQ288="7",BI288,0)</f>
        <v>0</v>
      </c>
      <c r="AF288" s="35">
        <f>IF(AQ288="2",BH288,0)</f>
        <v>0</v>
      </c>
      <c r="AG288" s="35">
        <f>IF(AQ288="2",BI288,0)</f>
        <v>0</v>
      </c>
      <c r="AH288" s="35">
        <f>IF(AQ288="0",BJ288,0)</f>
        <v>0</v>
      </c>
      <c r="AI288" s="27"/>
      <c r="AJ288" s="20">
        <f>IF(AN288=0,J288,0)</f>
        <v>0</v>
      </c>
      <c r="AK288" s="20">
        <f>IF(AN288=15,J288,0)</f>
        <v>0</v>
      </c>
      <c r="AL288" s="20">
        <f>IF(AN288=21,J288,0)</f>
        <v>0</v>
      </c>
      <c r="AN288" s="35">
        <v>21</v>
      </c>
      <c r="AO288" s="35">
        <f>G288*0</f>
        <v>0</v>
      </c>
      <c r="AP288" s="35">
        <f>G288*(1-0)</f>
        <v>0</v>
      </c>
      <c r="AQ288" s="31" t="s">
        <v>8</v>
      </c>
      <c r="AV288" s="35">
        <f>AW288+AX288</f>
        <v>0</v>
      </c>
      <c r="AW288" s="35">
        <f>F288*AO288</f>
        <v>0</v>
      </c>
      <c r="AX288" s="35">
        <f>F288*AP288</f>
        <v>0</v>
      </c>
      <c r="AY288" s="36" t="s">
        <v>666</v>
      </c>
      <c r="AZ288" s="36" t="s">
        <v>680</v>
      </c>
      <c r="BA288" s="27" t="s">
        <v>681</v>
      </c>
      <c r="BC288" s="35">
        <f>AW288+AX288</f>
        <v>0</v>
      </c>
      <c r="BD288" s="35">
        <f>G288/(100-BE288)*100</f>
        <v>0</v>
      </c>
      <c r="BE288" s="35">
        <v>0</v>
      </c>
      <c r="BF288" s="35">
        <f>M288</f>
        <v>0</v>
      </c>
      <c r="BH288" s="20">
        <f>F288*AO288</f>
        <v>0</v>
      </c>
      <c r="BI288" s="20">
        <f>F288*AP288</f>
        <v>0</v>
      </c>
      <c r="BJ288" s="20">
        <f>F288*G288</f>
        <v>0</v>
      </c>
    </row>
    <row r="289" spans="1:62" x14ac:dyDescent="0.25">
      <c r="C289" s="14" t="s">
        <v>151</v>
      </c>
      <c r="D289" s="141" t="s">
        <v>573</v>
      </c>
      <c r="E289" s="142"/>
      <c r="F289" s="142"/>
      <c r="G289" s="142"/>
      <c r="H289" s="142"/>
      <c r="I289" s="142"/>
      <c r="J289" s="142"/>
      <c r="K289" s="142"/>
      <c r="L289" s="142"/>
      <c r="M289" s="142"/>
      <c r="N289" s="142"/>
    </row>
    <row r="290" spans="1:62" x14ac:dyDescent="0.25">
      <c r="A290" s="6" t="s">
        <v>138</v>
      </c>
      <c r="B290" s="6"/>
      <c r="C290" s="6" t="s">
        <v>248</v>
      </c>
      <c r="D290" s="6" t="s">
        <v>490</v>
      </c>
      <c r="E290" s="6" t="s">
        <v>597</v>
      </c>
      <c r="F290" s="21">
        <v>4.1399999999999997</v>
      </c>
      <c r="G290" s="91"/>
      <c r="H290" s="21">
        <f>F290*AO290</f>
        <v>0</v>
      </c>
      <c r="I290" s="21">
        <f>F290*AP290</f>
        <v>0</v>
      </c>
      <c r="J290" s="21">
        <f>F290*G290</f>
        <v>0</v>
      </c>
      <c r="K290" s="43">
        <f>IF(J305=0,0,J290/J305)</f>
        <v>0</v>
      </c>
      <c r="L290" s="21">
        <v>2.92E-2</v>
      </c>
      <c r="M290" s="21">
        <f>F290*L290</f>
        <v>0.120888</v>
      </c>
      <c r="N290" s="32" t="s">
        <v>620</v>
      </c>
      <c r="Z290" s="35">
        <f>IF(AQ290="5",BJ290,0)</f>
        <v>0</v>
      </c>
      <c r="AB290" s="35">
        <f>IF(AQ290="1",BH290,0)</f>
        <v>0</v>
      </c>
      <c r="AC290" s="35">
        <f>IF(AQ290="1",BI290,0)</f>
        <v>0</v>
      </c>
      <c r="AD290" s="35">
        <f>IF(AQ290="7",BH290,0)</f>
        <v>0</v>
      </c>
      <c r="AE290" s="35">
        <f>IF(AQ290="7",BI290,0)</f>
        <v>0</v>
      </c>
      <c r="AF290" s="35">
        <f>IF(AQ290="2",BH290,0)</f>
        <v>0</v>
      </c>
      <c r="AG290" s="35">
        <f>IF(AQ290="2",BI290,0)</f>
        <v>0</v>
      </c>
      <c r="AH290" s="35">
        <f>IF(AQ290="0",BJ290,0)</f>
        <v>0</v>
      </c>
      <c r="AI290" s="27"/>
      <c r="AJ290" s="21">
        <f>IF(AN290=0,J290,0)</f>
        <v>0</v>
      </c>
      <c r="AK290" s="21">
        <f>IF(AN290=15,J290,0)</f>
        <v>0</v>
      </c>
      <c r="AL290" s="21">
        <f>IF(AN290=21,J290,0)</f>
        <v>0</v>
      </c>
      <c r="AN290" s="35">
        <v>21</v>
      </c>
      <c r="AO290" s="35">
        <f>G290*1</f>
        <v>0</v>
      </c>
      <c r="AP290" s="35">
        <f>G290*(1-1)</f>
        <v>0</v>
      </c>
      <c r="AQ290" s="32" t="s">
        <v>7</v>
      </c>
      <c r="AV290" s="35">
        <f>AW290+AX290</f>
        <v>0</v>
      </c>
      <c r="AW290" s="35">
        <f>F290*AO290</f>
        <v>0</v>
      </c>
      <c r="AX290" s="35">
        <f>F290*AP290</f>
        <v>0</v>
      </c>
      <c r="AY290" s="36" t="s">
        <v>666</v>
      </c>
      <c r="AZ290" s="36" t="s">
        <v>680</v>
      </c>
      <c r="BA290" s="27" t="s">
        <v>681</v>
      </c>
      <c r="BC290" s="35">
        <f>AW290+AX290</f>
        <v>0</v>
      </c>
      <c r="BD290" s="35">
        <f>G290/(100-BE290)*100</f>
        <v>0</v>
      </c>
      <c r="BE290" s="35">
        <v>0</v>
      </c>
      <c r="BF290" s="35">
        <f>M290</f>
        <v>0.120888</v>
      </c>
      <c r="BH290" s="21">
        <f>F290*AO290</f>
        <v>0</v>
      </c>
      <c r="BI290" s="21">
        <f>F290*AP290</f>
        <v>0</v>
      </c>
      <c r="BJ290" s="21">
        <f>F290*G290</f>
        <v>0</v>
      </c>
    </row>
    <row r="291" spans="1:62" x14ac:dyDescent="0.25">
      <c r="C291" s="14" t="s">
        <v>151</v>
      </c>
      <c r="D291" s="141" t="s">
        <v>491</v>
      </c>
      <c r="E291" s="142"/>
      <c r="F291" s="142"/>
      <c r="G291" s="142"/>
      <c r="H291" s="142"/>
      <c r="I291" s="142"/>
      <c r="J291" s="142"/>
      <c r="K291" s="142"/>
      <c r="L291" s="142"/>
      <c r="M291" s="142"/>
      <c r="N291" s="142"/>
    </row>
    <row r="292" spans="1:62" x14ac:dyDescent="0.25">
      <c r="A292" s="5"/>
      <c r="B292" s="13"/>
      <c r="C292" s="13" t="s">
        <v>297</v>
      </c>
      <c r="D292" s="13" t="s">
        <v>574</v>
      </c>
      <c r="E292" s="5" t="s">
        <v>6</v>
      </c>
      <c r="F292" s="5" t="s">
        <v>6</v>
      </c>
      <c r="G292" s="90" t="s">
        <v>6</v>
      </c>
      <c r="H292" s="38">
        <f>SUM(H293:H303)</f>
        <v>0</v>
      </c>
      <c r="I292" s="38">
        <f>SUM(I293:I303)</f>
        <v>0</v>
      </c>
      <c r="J292" s="38">
        <f>SUM(J293:J303)</f>
        <v>0</v>
      </c>
      <c r="K292" s="42">
        <f>IF(J305=0,0,J292/J305)</f>
        <v>0</v>
      </c>
      <c r="L292" s="27"/>
      <c r="M292" s="38">
        <f>SUM(M293:M303)</f>
        <v>0</v>
      </c>
      <c r="N292" s="27"/>
      <c r="AI292" s="27"/>
      <c r="AS292" s="38">
        <f>SUM(AJ293:AJ303)</f>
        <v>0</v>
      </c>
      <c r="AT292" s="38">
        <f>SUM(AK293:AK303)</f>
        <v>0</v>
      </c>
      <c r="AU292" s="38">
        <f>SUM(AL293:AL303)</f>
        <v>0</v>
      </c>
    </row>
    <row r="293" spans="1:62" x14ac:dyDescent="0.25">
      <c r="A293" s="4" t="s">
        <v>139</v>
      </c>
      <c r="B293" s="4"/>
      <c r="C293" s="4" t="s">
        <v>298</v>
      </c>
      <c r="D293" s="4" t="s">
        <v>575</v>
      </c>
      <c r="E293" s="4" t="s">
        <v>593</v>
      </c>
      <c r="F293" s="20">
        <v>87.750249999999994</v>
      </c>
      <c r="G293" s="88"/>
      <c r="H293" s="20">
        <f>F293*AO293</f>
        <v>0</v>
      </c>
      <c r="I293" s="20">
        <f>F293*AP293</f>
        <v>0</v>
      </c>
      <c r="J293" s="20">
        <f>F293*G293</f>
        <v>0</v>
      </c>
      <c r="K293" s="41">
        <f>IF(J305=0,0,J293/J305)</f>
        <v>0</v>
      </c>
      <c r="L293" s="20">
        <v>0</v>
      </c>
      <c r="M293" s="20">
        <f>F293*L293</f>
        <v>0</v>
      </c>
      <c r="N293" s="31" t="s">
        <v>620</v>
      </c>
      <c r="Z293" s="35">
        <f>IF(AQ293="5",BJ293,0)</f>
        <v>0</v>
      </c>
      <c r="AB293" s="35">
        <f>IF(AQ293="1",BH293,0)</f>
        <v>0</v>
      </c>
      <c r="AC293" s="35">
        <f>IF(AQ293="1",BI293,0)</f>
        <v>0</v>
      </c>
      <c r="AD293" s="35">
        <f>IF(AQ293="7",BH293,0)</f>
        <v>0</v>
      </c>
      <c r="AE293" s="35">
        <f>IF(AQ293="7",BI293,0)</f>
        <v>0</v>
      </c>
      <c r="AF293" s="35">
        <f>IF(AQ293="2",BH293,0)</f>
        <v>0</v>
      </c>
      <c r="AG293" s="35">
        <f>IF(AQ293="2",BI293,0)</f>
        <v>0</v>
      </c>
      <c r="AH293" s="35">
        <f>IF(AQ293="0",BJ293,0)</f>
        <v>0</v>
      </c>
      <c r="AI293" s="27"/>
      <c r="AJ293" s="20">
        <f>IF(AN293=0,J293,0)</f>
        <v>0</v>
      </c>
      <c r="AK293" s="20">
        <f>IF(AN293=15,J293,0)</f>
        <v>0</v>
      </c>
      <c r="AL293" s="20">
        <f>IF(AN293=21,J293,0)</f>
        <v>0</v>
      </c>
      <c r="AN293" s="35">
        <v>21</v>
      </c>
      <c r="AO293" s="35">
        <f>G293*0</f>
        <v>0</v>
      </c>
      <c r="AP293" s="35">
        <f>G293*(1-0)</f>
        <v>0</v>
      </c>
      <c r="AQ293" s="31" t="s">
        <v>11</v>
      </c>
      <c r="AV293" s="35">
        <f>AW293+AX293</f>
        <v>0</v>
      </c>
      <c r="AW293" s="35">
        <f>F293*AO293</f>
        <v>0</v>
      </c>
      <c r="AX293" s="35">
        <f>F293*AP293</f>
        <v>0</v>
      </c>
      <c r="AY293" s="36" t="s">
        <v>667</v>
      </c>
      <c r="AZ293" s="36" t="s">
        <v>680</v>
      </c>
      <c r="BA293" s="27" t="s">
        <v>681</v>
      </c>
      <c r="BC293" s="35">
        <f>AW293+AX293</f>
        <v>0</v>
      </c>
      <c r="BD293" s="35">
        <f>G293/(100-BE293)*100</f>
        <v>0</v>
      </c>
      <c r="BE293" s="35">
        <v>0</v>
      </c>
      <c r="BF293" s="35">
        <f>M293</f>
        <v>0</v>
      </c>
      <c r="BH293" s="20">
        <f>F293*AO293</f>
        <v>0</v>
      </c>
      <c r="BI293" s="20">
        <f>F293*AP293</f>
        <v>0</v>
      </c>
      <c r="BJ293" s="20">
        <f>F293*G293</f>
        <v>0</v>
      </c>
    </row>
    <row r="294" spans="1:62" x14ac:dyDescent="0.25">
      <c r="C294" s="14" t="s">
        <v>151</v>
      </c>
      <c r="D294" s="141" t="s">
        <v>576</v>
      </c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</row>
    <row r="295" spans="1:62" x14ac:dyDescent="0.25">
      <c r="A295" s="4" t="s">
        <v>140</v>
      </c>
      <c r="B295" s="4"/>
      <c r="C295" s="4" t="s">
        <v>299</v>
      </c>
      <c r="D295" s="4" t="s">
        <v>577</v>
      </c>
      <c r="E295" s="4" t="s">
        <v>593</v>
      </c>
      <c r="F295" s="20">
        <v>87.750249999999994</v>
      </c>
      <c r="G295" s="88"/>
      <c r="H295" s="20">
        <f>F295*AO295</f>
        <v>0</v>
      </c>
      <c r="I295" s="20">
        <f>F295*AP295</f>
        <v>0</v>
      </c>
      <c r="J295" s="20">
        <f>F295*G295</f>
        <v>0</v>
      </c>
      <c r="K295" s="41">
        <f>IF(J305=0,0,J295/J305)</f>
        <v>0</v>
      </c>
      <c r="L295" s="20">
        <v>0</v>
      </c>
      <c r="M295" s="20">
        <f>F295*L295</f>
        <v>0</v>
      </c>
      <c r="N295" s="31" t="s">
        <v>620</v>
      </c>
      <c r="Z295" s="35">
        <f>IF(AQ295="5",BJ295,0)</f>
        <v>0</v>
      </c>
      <c r="AB295" s="35">
        <f>IF(AQ295="1",BH295,0)</f>
        <v>0</v>
      </c>
      <c r="AC295" s="35">
        <f>IF(AQ295="1",BI295,0)</f>
        <v>0</v>
      </c>
      <c r="AD295" s="35">
        <f>IF(AQ295="7",BH295,0)</f>
        <v>0</v>
      </c>
      <c r="AE295" s="35">
        <f>IF(AQ295="7",BI295,0)</f>
        <v>0</v>
      </c>
      <c r="AF295" s="35">
        <f>IF(AQ295="2",BH295,0)</f>
        <v>0</v>
      </c>
      <c r="AG295" s="35">
        <f>IF(AQ295="2",BI295,0)</f>
        <v>0</v>
      </c>
      <c r="AH295" s="35">
        <f>IF(AQ295="0",BJ295,0)</f>
        <v>0</v>
      </c>
      <c r="AI295" s="27"/>
      <c r="AJ295" s="20">
        <f>IF(AN295=0,J295,0)</f>
        <v>0</v>
      </c>
      <c r="AK295" s="20">
        <f>IF(AN295=15,J295,0)</f>
        <v>0</v>
      </c>
      <c r="AL295" s="20">
        <f>IF(AN295=21,J295,0)</f>
        <v>0</v>
      </c>
      <c r="AN295" s="35">
        <v>21</v>
      </c>
      <c r="AO295" s="35">
        <f>G295*0</f>
        <v>0</v>
      </c>
      <c r="AP295" s="35">
        <f>G295*(1-0)</f>
        <v>0</v>
      </c>
      <c r="AQ295" s="31" t="s">
        <v>11</v>
      </c>
      <c r="AV295" s="35">
        <f>AW295+AX295</f>
        <v>0</v>
      </c>
      <c r="AW295" s="35">
        <f>F295*AO295</f>
        <v>0</v>
      </c>
      <c r="AX295" s="35">
        <f>F295*AP295</f>
        <v>0</v>
      </c>
      <c r="AY295" s="36" t="s">
        <v>667</v>
      </c>
      <c r="AZ295" s="36" t="s">
        <v>680</v>
      </c>
      <c r="BA295" s="27" t="s">
        <v>681</v>
      </c>
      <c r="BC295" s="35">
        <f>AW295+AX295</f>
        <v>0</v>
      </c>
      <c r="BD295" s="35">
        <f>G295/(100-BE295)*100</f>
        <v>0</v>
      </c>
      <c r="BE295" s="35">
        <v>0</v>
      </c>
      <c r="BF295" s="35">
        <f>M295</f>
        <v>0</v>
      </c>
      <c r="BH295" s="20">
        <f>F295*AO295</f>
        <v>0</v>
      </c>
      <c r="BI295" s="20">
        <f>F295*AP295</f>
        <v>0</v>
      </c>
      <c r="BJ295" s="20">
        <f>F295*G295</f>
        <v>0</v>
      </c>
    </row>
    <row r="296" spans="1:62" x14ac:dyDescent="0.25">
      <c r="D296" s="17" t="s">
        <v>578</v>
      </c>
    </row>
    <row r="297" spans="1:62" x14ac:dyDescent="0.25">
      <c r="A297" s="4" t="s">
        <v>141</v>
      </c>
      <c r="B297" s="4"/>
      <c r="C297" s="4" t="s">
        <v>300</v>
      </c>
      <c r="D297" s="4" t="s">
        <v>579</v>
      </c>
      <c r="E297" s="4" t="s">
        <v>593</v>
      </c>
      <c r="F297" s="20">
        <v>1140.75</v>
      </c>
      <c r="G297" s="88"/>
      <c r="H297" s="20">
        <f>F297*AO297</f>
        <v>0</v>
      </c>
      <c r="I297" s="20">
        <f>F297*AP297</f>
        <v>0</v>
      </c>
      <c r="J297" s="20">
        <f>F297*G297</f>
        <v>0</v>
      </c>
      <c r="K297" s="41">
        <f>IF(J305=0,0,J297/J305)</f>
        <v>0</v>
      </c>
      <c r="L297" s="20">
        <v>0</v>
      </c>
      <c r="M297" s="20">
        <f>F297*L297</f>
        <v>0</v>
      </c>
      <c r="N297" s="31" t="s">
        <v>620</v>
      </c>
      <c r="Z297" s="35">
        <f>IF(AQ297="5",BJ297,0)</f>
        <v>0</v>
      </c>
      <c r="AB297" s="35">
        <f>IF(AQ297="1",BH297,0)</f>
        <v>0</v>
      </c>
      <c r="AC297" s="35">
        <f>IF(AQ297="1",BI297,0)</f>
        <v>0</v>
      </c>
      <c r="AD297" s="35">
        <f>IF(AQ297="7",BH297,0)</f>
        <v>0</v>
      </c>
      <c r="AE297" s="35">
        <f>IF(AQ297="7",BI297,0)</f>
        <v>0</v>
      </c>
      <c r="AF297" s="35">
        <f>IF(AQ297="2",BH297,0)</f>
        <v>0</v>
      </c>
      <c r="AG297" s="35">
        <f>IF(AQ297="2",BI297,0)</f>
        <v>0</v>
      </c>
      <c r="AH297" s="35">
        <f>IF(AQ297="0",BJ297,0)</f>
        <v>0</v>
      </c>
      <c r="AI297" s="27"/>
      <c r="AJ297" s="20">
        <f>IF(AN297=0,J297,0)</f>
        <v>0</v>
      </c>
      <c r="AK297" s="20">
        <f>IF(AN297=15,J297,0)</f>
        <v>0</v>
      </c>
      <c r="AL297" s="20">
        <f>IF(AN297=21,J297,0)</f>
        <v>0</v>
      </c>
      <c r="AN297" s="35">
        <v>21</v>
      </c>
      <c r="AO297" s="35">
        <f>G297*0</f>
        <v>0</v>
      </c>
      <c r="AP297" s="35">
        <f>G297*(1-0)</f>
        <v>0</v>
      </c>
      <c r="AQ297" s="31" t="s">
        <v>11</v>
      </c>
      <c r="AV297" s="35">
        <f>AW297+AX297</f>
        <v>0</v>
      </c>
      <c r="AW297" s="35">
        <f>F297*AO297</f>
        <v>0</v>
      </c>
      <c r="AX297" s="35">
        <f>F297*AP297</f>
        <v>0</v>
      </c>
      <c r="AY297" s="36" t="s">
        <v>667</v>
      </c>
      <c r="AZ297" s="36" t="s">
        <v>680</v>
      </c>
      <c r="BA297" s="27" t="s">
        <v>681</v>
      </c>
      <c r="BC297" s="35">
        <f>AW297+AX297</f>
        <v>0</v>
      </c>
      <c r="BD297" s="35">
        <f>G297/(100-BE297)*100</f>
        <v>0</v>
      </c>
      <c r="BE297" s="35">
        <v>0</v>
      </c>
      <c r="BF297" s="35">
        <f>M297</f>
        <v>0</v>
      </c>
      <c r="BH297" s="20">
        <f>F297*AO297</f>
        <v>0</v>
      </c>
      <c r="BI297" s="20">
        <f>F297*AP297</f>
        <v>0</v>
      </c>
      <c r="BJ297" s="20">
        <f>F297*G297</f>
        <v>0</v>
      </c>
    </row>
    <row r="298" spans="1:62" x14ac:dyDescent="0.25">
      <c r="D298" s="17" t="s">
        <v>578</v>
      </c>
    </row>
    <row r="299" spans="1:62" x14ac:dyDescent="0.25">
      <c r="A299" s="4" t="s">
        <v>142</v>
      </c>
      <c r="B299" s="4"/>
      <c r="C299" s="4" t="s">
        <v>301</v>
      </c>
      <c r="D299" s="4" t="s">
        <v>580</v>
      </c>
      <c r="E299" s="4" t="s">
        <v>593</v>
      </c>
      <c r="F299" s="20">
        <v>87.750249999999994</v>
      </c>
      <c r="G299" s="88"/>
      <c r="H299" s="20">
        <f>F299*AO299</f>
        <v>0</v>
      </c>
      <c r="I299" s="20">
        <f>F299*AP299</f>
        <v>0</v>
      </c>
      <c r="J299" s="20">
        <f>F299*G299</f>
        <v>0</v>
      </c>
      <c r="K299" s="41">
        <f>IF(J305=0,0,J299/J305)</f>
        <v>0</v>
      </c>
      <c r="L299" s="20">
        <v>0</v>
      </c>
      <c r="M299" s="20">
        <f>F299*L299</f>
        <v>0</v>
      </c>
      <c r="N299" s="31" t="s">
        <v>620</v>
      </c>
      <c r="Z299" s="35">
        <f>IF(AQ299="5",BJ299,0)</f>
        <v>0</v>
      </c>
      <c r="AB299" s="35">
        <f>IF(AQ299="1",BH299,0)</f>
        <v>0</v>
      </c>
      <c r="AC299" s="35">
        <f>IF(AQ299="1",BI299,0)</f>
        <v>0</v>
      </c>
      <c r="AD299" s="35">
        <f>IF(AQ299="7",BH299,0)</f>
        <v>0</v>
      </c>
      <c r="AE299" s="35">
        <f>IF(AQ299="7",BI299,0)</f>
        <v>0</v>
      </c>
      <c r="AF299" s="35">
        <f>IF(AQ299="2",BH299,0)</f>
        <v>0</v>
      </c>
      <c r="AG299" s="35">
        <f>IF(AQ299="2",BI299,0)</f>
        <v>0</v>
      </c>
      <c r="AH299" s="35">
        <f>IF(AQ299="0",BJ299,0)</f>
        <v>0</v>
      </c>
      <c r="AI299" s="27"/>
      <c r="AJ299" s="20">
        <f>IF(AN299=0,J299,0)</f>
        <v>0</v>
      </c>
      <c r="AK299" s="20">
        <f>IF(AN299=15,J299,0)</f>
        <v>0</v>
      </c>
      <c r="AL299" s="20">
        <f>IF(AN299=21,J299,0)</f>
        <v>0</v>
      </c>
      <c r="AN299" s="35">
        <v>21</v>
      </c>
      <c r="AO299" s="35">
        <f>G299*0</f>
        <v>0</v>
      </c>
      <c r="AP299" s="35">
        <f>G299*(1-0)</f>
        <v>0</v>
      </c>
      <c r="AQ299" s="31" t="s">
        <v>11</v>
      </c>
      <c r="AV299" s="35">
        <f>AW299+AX299</f>
        <v>0</v>
      </c>
      <c r="AW299" s="35">
        <f>F299*AO299</f>
        <v>0</v>
      </c>
      <c r="AX299" s="35">
        <f>F299*AP299</f>
        <v>0</v>
      </c>
      <c r="AY299" s="36" t="s">
        <v>667</v>
      </c>
      <c r="AZ299" s="36" t="s">
        <v>680</v>
      </c>
      <c r="BA299" s="27" t="s">
        <v>681</v>
      </c>
      <c r="BC299" s="35">
        <f>AW299+AX299</f>
        <v>0</v>
      </c>
      <c r="BD299" s="35">
        <f>G299/(100-BE299)*100</f>
        <v>0</v>
      </c>
      <c r="BE299" s="35">
        <v>0</v>
      </c>
      <c r="BF299" s="35">
        <f>M299</f>
        <v>0</v>
      </c>
      <c r="BH299" s="20">
        <f>F299*AO299</f>
        <v>0</v>
      </c>
      <c r="BI299" s="20">
        <f>F299*AP299</f>
        <v>0</v>
      </c>
      <c r="BJ299" s="20">
        <f>F299*G299</f>
        <v>0</v>
      </c>
    </row>
    <row r="300" spans="1:62" x14ac:dyDescent="0.25">
      <c r="A300" s="4" t="s">
        <v>143</v>
      </c>
      <c r="B300" s="4"/>
      <c r="C300" s="4" t="s">
        <v>302</v>
      </c>
      <c r="D300" s="4" t="s">
        <v>581</v>
      </c>
      <c r="E300" s="4" t="s">
        <v>593</v>
      </c>
      <c r="F300" s="20">
        <v>85.979370000000003</v>
      </c>
      <c r="G300" s="88"/>
      <c r="H300" s="20">
        <f>F300*AO300</f>
        <v>0</v>
      </c>
      <c r="I300" s="20">
        <f>F300*AP300</f>
        <v>0</v>
      </c>
      <c r="J300" s="20">
        <f>F300*G300</f>
        <v>0</v>
      </c>
      <c r="K300" s="41">
        <f>IF(J305=0,0,J300/J305)</f>
        <v>0</v>
      </c>
      <c r="L300" s="20">
        <v>0</v>
      </c>
      <c r="M300" s="20">
        <f>F300*L300</f>
        <v>0</v>
      </c>
      <c r="N300" s="31" t="s">
        <v>620</v>
      </c>
      <c r="Z300" s="35">
        <f>IF(AQ300="5",BJ300,0)</f>
        <v>0</v>
      </c>
      <c r="AB300" s="35">
        <f>IF(AQ300="1",BH300,0)</f>
        <v>0</v>
      </c>
      <c r="AC300" s="35">
        <f>IF(AQ300="1",BI300,0)</f>
        <v>0</v>
      </c>
      <c r="AD300" s="35">
        <f>IF(AQ300="7",BH300,0)</f>
        <v>0</v>
      </c>
      <c r="AE300" s="35">
        <f>IF(AQ300="7",BI300,0)</f>
        <v>0</v>
      </c>
      <c r="AF300" s="35">
        <f>IF(AQ300="2",BH300,0)</f>
        <v>0</v>
      </c>
      <c r="AG300" s="35">
        <f>IF(AQ300="2",BI300,0)</f>
        <v>0</v>
      </c>
      <c r="AH300" s="35">
        <f>IF(AQ300="0",BJ300,0)</f>
        <v>0</v>
      </c>
      <c r="AI300" s="27"/>
      <c r="AJ300" s="20">
        <f>IF(AN300=0,J300,0)</f>
        <v>0</v>
      </c>
      <c r="AK300" s="20">
        <f>IF(AN300=15,J300,0)</f>
        <v>0</v>
      </c>
      <c r="AL300" s="20">
        <f>IF(AN300=21,J300,0)</f>
        <v>0</v>
      </c>
      <c r="AN300" s="35">
        <v>21</v>
      </c>
      <c r="AO300" s="35">
        <f>G300*0</f>
        <v>0</v>
      </c>
      <c r="AP300" s="35">
        <f>G300*(1-0)</f>
        <v>0</v>
      </c>
      <c r="AQ300" s="31" t="s">
        <v>11</v>
      </c>
      <c r="AV300" s="35">
        <f>AW300+AX300</f>
        <v>0</v>
      </c>
      <c r="AW300" s="35">
        <f>F300*AO300</f>
        <v>0</v>
      </c>
      <c r="AX300" s="35">
        <f>F300*AP300</f>
        <v>0</v>
      </c>
      <c r="AY300" s="36" t="s">
        <v>667</v>
      </c>
      <c r="AZ300" s="36" t="s">
        <v>680</v>
      </c>
      <c r="BA300" s="27" t="s">
        <v>681</v>
      </c>
      <c r="BC300" s="35">
        <f>AW300+AX300</f>
        <v>0</v>
      </c>
      <c r="BD300" s="35">
        <f>G300/(100-BE300)*100</f>
        <v>0</v>
      </c>
      <c r="BE300" s="35">
        <v>0</v>
      </c>
      <c r="BF300" s="35">
        <f>M300</f>
        <v>0</v>
      </c>
      <c r="BH300" s="20">
        <f>F300*AO300</f>
        <v>0</v>
      </c>
      <c r="BI300" s="20">
        <f>F300*AP300</f>
        <v>0</v>
      </c>
      <c r="BJ300" s="20">
        <f>F300*G300</f>
        <v>0</v>
      </c>
    </row>
    <row r="301" spans="1:62" x14ac:dyDescent="0.25">
      <c r="A301" s="4" t="s">
        <v>144</v>
      </c>
      <c r="B301" s="4"/>
      <c r="C301" s="4" t="s">
        <v>303</v>
      </c>
      <c r="D301" s="4" t="s">
        <v>582</v>
      </c>
      <c r="E301" s="4" t="s">
        <v>593</v>
      </c>
      <c r="F301" s="20">
        <v>25.652850000000001</v>
      </c>
      <c r="G301" s="88"/>
      <c r="H301" s="20">
        <f>F301*AO301</f>
        <v>0</v>
      </c>
      <c r="I301" s="20">
        <f>F301*AP301</f>
        <v>0</v>
      </c>
      <c r="J301" s="20">
        <f>F301*G301</f>
        <v>0</v>
      </c>
      <c r="K301" s="41">
        <f>IF(J305=0,0,J301/J305)</f>
        <v>0</v>
      </c>
      <c r="L301" s="20">
        <v>0</v>
      </c>
      <c r="M301" s="20">
        <f>F301*L301</f>
        <v>0</v>
      </c>
      <c r="N301" s="31" t="s">
        <v>620</v>
      </c>
      <c r="Z301" s="35">
        <f>IF(AQ301="5",BJ301,0)</f>
        <v>0</v>
      </c>
      <c r="AB301" s="35">
        <f>IF(AQ301="1",BH301,0)</f>
        <v>0</v>
      </c>
      <c r="AC301" s="35">
        <f>IF(AQ301="1",BI301,0)</f>
        <v>0</v>
      </c>
      <c r="AD301" s="35">
        <f>IF(AQ301="7",BH301,0)</f>
        <v>0</v>
      </c>
      <c r="AE301" s="35">
        <f>IF(AQ301="7",BI301,0)</f>
        <v>0</v>
      </c>
      <c r="AF301" s="35">
        <f>IF(AQ301="2",BH301,0)</f>
        <v>0</v>
      </c>
      <c r="AG301" s="35">
        <f>IF(AQ301="2",BI301,0)</f>
        <v>0</v>
      </c>
      <c r="AH301" s="35">
        <f>IF(AQ301="0",BJ301,0)</f>
        <v>0</v>
      </c>
      <c r="AI301" s="27"/>
      <c r="AJ301" s="20">
        <f>IF(AN301=0,J301,0)</f>
        <v>0</v>
      </c>
      <c r="AK301" s="20">
        <f>IF(AN301=15,J301,0)</f>
        <v>0</v>
      </c>
      <c r="AL301" s="20">
        <f>IF(AN301=21,J301,0)</f>
        <v>0</v>
      </c>
      <c r="AN301" s="35">
        <v>21</v>
      </c>
      <c r="AO301" s="35">
        <f>G301*0</f>
        <v>0</v>
      </c>
      <c r="AP301" s="35">
        <f>G301*(1-0)</f>
        <v>0</v>
      </c>
      <c r="AQ301" s="31" t="s">
        <v>11</v>
      </c>
      <c r="AV301" s="35">
        <f>AW301+AX301</f>
        <v>0</v>
      </c>
      <c r="AW301" s="35">
        <f>F301*AO301</f>
        <v>0</v>
      </c>
      <c r="AX301" s="35">
        <f>F301*AP301</f>
        <v>0</v>
      </c>
      <c r="AY301" s="36" t="s">
        <v>667</v>
      </c>
      <c r="AZ301" s="36" t="s">
        <v>680</v>
      </c>
      <c r="BA301" s="27" t="s">
        <v>681</v>
      </c>
      <c r="BC301" s="35">
        <f>AW301+AX301</f>
        <v>0</v>
      </c>
      <c r="BD301" s="35">
        <f>G301/(100-BE301)*100</f>
        <v>0</v>
      </c>
      <c r="BE301" s="35">
        <v>0</v>
      </c>
      <c r="BF301" s="35">
        <f>M301</f>
        <v>0</v>
      </c>
      <c r="BH301" s="20">
        <f>F301*AO301</f>
        <v>0</v>
      </c>
      <c r="BI301" s="20">
        <f>F301*AP301</f>
        <v>0</v>
      </c>
      <c r="BJ301" s="20">
        <f>F301*G301</f>
        <v>0</v>
      </c>
    </row>
    <row r="302" spans="1:62" x14ac:dyDescent="0.25">
      <c r="C302" s="14" t="s">
        <v>151</v>
      </c>
      <c r="D302" s="141" t="s">
        <v>583</v>
      </c>
      <c r="E302" s="142"/>
      <c r="F302" s="142"/>
      <c r="G302" s="142"/>
      <c r="H302" s="142"/>
      <c r="I302" s="142"/>
      <c r="J302" s="142"/>
      <c r="K302" s="142"/>
      <c r="L302" s="142"/>
      <c r="M302" s="142"/>
      <c r="N302" s="142"/>
    </row>
    <row r="303" spans="1:62" x14ac:dyDescent="0.25">
      <c r="A303" s="4" t="s">
        <v>145</v>
      </c>
      <c r="B303" s="4"/>
      <c r="C303" s="4" t="s">
        <v>304</v>
      </c>
      <c r="D303" s="4" t="s">
        <v>584</v>
      </c>
      <c r="E303" s="4" t="s">
        <v>593</v>
      </c>
      <c r="F303" s="20">
        <v>3.9844200000000001</v>
      </c>
      <c r="G303" s="88"/>
      <c r="H303" s="20">
        <f>F303*AO303</f>
        <v>0</v>
      </c>
      <c r="I303" s="20">
        <f>F303*AP303</f>
        <v>0</v>
      </c>
      <c r="J303" s="20">
        <f>F303*G303</f>
        <v>0</v>
      </c>
      <c r="K303" s="41">
        <f>IF(J305=0,0,J303/J305)</f>
        <v>0</v>
      </c>
      <c r="L303" s="20">
        <v>0</v>
      </c>
      <c r="M303" s="20">
        <f>F303*L303</f>
        <v>0</v>
      </c>
      <c r="N303" s="31" t="s">
        <v>620</v>
      </c>
      <c r="Z303" s="35">
        <f>IF(AQ303="5",BJ303,0)</f>
        <v>0</v>
      </c>
      <c r="AB303" s="35">
        <f>IF(AQ303="1",BH303,0)</f>
        <v>0</v>
      </c>
      <c r="AC303" s="35">
        <f>IF(AQ303="1",BI303,0)</f>
        <v>0</v>
      </c>
      <c r="AD303" s="35">
        <f>IF(AQ303="7",BH303,0)</f>
        <v>0</v>
      </c>
      <c r="AE303" s="35">
        <f>IF(AQ303="7",BI303,0)</f>
        <v>0</v>
      </c>
      <c r="AF303" s="35">
        <f>IF(AQ303="2",BH303,0)</f>
        <v>0</v>
      </c>
      <c r="AG303" s="35">
        <f>IF(AQ303="2",BI303,0)</f>
        <v>0</v>
      </c>
      <c r="AH303" s="35">
        <f>IF(AQ303="0",BJ303,0)</f>
        <v>0</v>
      </c>
      <c r="AI303" s="27"/>
      <c r="AJ303" s="20">
        <f>IF(AN303=0,J303,0)</f>
        <v>0</v>
      </c>
      <c r="AK303" s="20">
        <f>IF(AN303=15,J303,0)</f>
        <v>0</v>
      </c>
      <c r="AL303" s="20">
        <f>IF(AN303=21,J303,0)</f>
        <v>0</v>
      </c>
      <c r="AN303" s="35">
        <v>21</v>
      </c>
      <c r="AO303" s="35">
        <f>G303*0</f>
        <v>0</v>
      </c>
      <c r="AP303" s="35">
        <f>G303*(1-0)</f>
        <v>0</v>
      </c>
      <c r="AQ303" s="31" t="s">
        <v>11</v>
      </c>
      <c r="AV303" s="35">
        <f>AW303+AX303</f>
        <v>0</v>
      </c>
      <c r="AW303" s="35">
        <f>F303*AO303</f>
        <v>0</v>
      </c>
      <c r="AX303" s="35">
        <f>F303*AP303</f>
        <v>0</v>
      </c>
      <c r="AY303" s="36" t="s">
        <v>667</v>
      </c>
      <c r="AZ303" s="36" t="s">
        <v>680</v>
      </c>
      <c r="BA303" s="27" t="s">
        <v>681</v>
      </c>
      <c r="BC303" s="35">
        <f>AW303+AX303</f>
        <v>0</v>
      </c>
      <c r="BD303" s="35">
        <f>G303/(100-BE303)*100</f>
        <v>0</v>
      </c>
      <c r="BE303" s="35">
        <v>0</v>
      </c>
      <c r="BF303" s="35">
        <f>M303</f>
        <v>0</v>
      </c>
      <c r="BH303" s="20">
        <f>F303*AO303</f>
        <v>0</v>
      </c>
      <c r="BI303" s="20">
        <f>F303*AP303</f>
        <v>0</v>
      </c>
      <c r="BJ303" s="20">
        <f>F303*G303</f>
        <v>0</v>
      </c>
    </row>
    <row r="304" spans="1:62" x14ac:dyDescent="0.25">
      <c r="A304" s="7"/>
      <c r="B304" s="7"/>
      <c r="C304" s="15" t="s">
        <v>151</v>
      </c>
      <c r="D304" s="143" t="s">
        <v>585</v>
      </c>
      <c r="E304" s="144"/>
      <c r="F304" s="144"/>
      <c r="G304" s="144"/>
      <c r="H304" s="144"/>
      <c r="I304" s="144"/>
      <c r="J304" s="144"/>
      <c r="K304" s="144"/>
      <c r="L304" s="144"/>
      <c r="M304" s="144"/>
      <c r="N304" s="144"/>
    </row>
    <row r="305" spans="1:14" x14ac:dyDescent="0.25">
      <c r="A305" s="8"/>
      <c r="B305" s="8"/>
      <c r="C305" s="8"/>
      <c r="D305" s="8"/>
      <c r="E305" s="8"/>
      <c r="F305" s="8"/>
      <c r="G305" s="92"/>
      <c r="H305" s="145" t="s">
        <v>611</v>
      </c>
      <c r="I305" s="132"/>
      <c r="J305" s="39">
        <f>J12+J18+J21+J24+J39+J56+J63+J72+J87+J93+J101+J107+J118+J122+J131+J137+J142+J149+J160+J175+J182+J185+J193+J200+J227+J236+J244+J248+J253+J257+J265+J279+J282+J284+J287+J292</f>
        <v>0</v>
      </c>
      <c r="K305" s="8"/>
      <c r="L305" s="8"/>
      <c r="M305" s="8"/>
      <c r="N305" s="8"/>
    </row>
    <row r="306" spans="1:14" ht="11.25" customHeight="1" x14ac:dyDescent="0.25">
      <c r="A306" s="9" t="s">
        <v>146</v>
      </c>
    </row>
    <row r="307" spans="1:14" ht="128.25" customHeight="1" x14ac:dyDescent="0.25">
      <c r="A307" s="118" t="s">
        <v>147</v>
      </c>
      <c r="B307" s="115"/>
      <c r="C307" s="115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</row>
  </sheetData>
  <mergeCells count="107">
    <mergeCell ref="A4:C5"/>
    <mergeCell ref="D4:D5"/>
    <mergeCell ref="E4:F5"/>
    <mergeCell ref="G4:G5"/>
    <mergeCell ref="H4:H5"/>
    <mergeCell ref="I4:N5"/>
    <mergeCell ref="A1:N1"/>
    <mergeCell ref="A2:C3"/>
    <mergeCell ref="D2:D3"/>
    <mergeCell ref="E2:F3"/>
    <mergeCell ref="G2:G3"/>
    <mergeCell ref="H2:H3"/>
    <mergeCell ref="I2:N3"/>
    <mergeCell ref="A8:C9"/>
    <mergeCell ref="D8:D9"/>
    <mergeCell ref="E8:F9"/>
    <mergeCell ref="G8:G9"/>
    <mergeCell ref="H8:H9"/>
    <mergeCell ref="I8:N9"/>
    <mergeCell ref="A6:C7"/>
    <mergeCell ref="D6:D7"/>
    <mergeCell ref="E6:F7"/>
    <mergeCell ref="G6:G7"/>
    <mergeCell ref="H6:H7"/>
    <mergeCell ref="I6:N7"/>
    <mergeCell ref="D26:N26"/>
    <mergeCell ref="D28:N28"/>
    <mergeCell ref="D32:N32"/>
    <mergeCell ref="D34:N34"/>
    <mergeCell ref="D36:N36"/>
    <mergeCell ref="D42:N42"/>
    <mergeCell ref="H10:J10"/>
    <mergeCell ref="L10:M10"/>
    <mergeCell ref="D15:N15"/>
    <mergeCell ref="D17:N17"/>
    <mergeCell ref="D20:N20"/>
    <mergeCell ref="D23:N23"/>
    <mergeCell ref="D59:N59"/>
    <mergeCell ref="D62:N62"/>
    <mergeCell ref="D74:N74"/>
    <mergeCell ref="D76:N76"/>
    <mergeCell ref="D78:N78"/>
    <mergeCell ref="D80:N80"/>
    <mergeCell ref="D44:N44"/>
    <mergeCell ref="D46:N46"/>
    <mergeCell ref="D48:N48"/>
    <mergeCell ref="D50:N50"/>
    <mergeCell ref="D53:N53"/>
    <mergeCell ref="D55:N55"/>
    <mergeCell ref="D109:N109"/>
    <mergeCell ref="D112:N112"/>
    <mergeCell ref="D115:N115"/>
    <mergeCell ref="D120:N120"/>
    <mergeCell ref="D124:N124"/>
    <mergeCell ref="D125:N125"/>
    <mergeCell ref="D83:N83"/>
    <mergeCell ref="D86:N86"/>
    <mergeCell ref="D90:N90"/>
    <mergeCell ref="D92:N92"/>
    <mergeCell ref="D104:N104"/>
    <mergeCell ref="D106:N106"/>
    <mergeCell ref="D146:N146"/>
    <mergeCell ref="D148:N148"/>
    <mergeCell ref="D164:N164"/>
    <mergeCell ref="D167:N167"/>
    <mergeCell ref="D174:N174"/>
    <mergeCell ref="D188:N188"/>
    <mergeCell ref="D127:N127"/>
    <mergeCell ref="D128:N128"/>
    <mergeCell ref="D136:N136"/>
    <mergeCell ref="D139:N139"/>
    <mergeCell ref="D141:N141"/>
    <mergeCell ref="D144:N144"/>
    <mergeCell ref="D208:N208"/>
    <mergeCell ref="D216:N216"/>
    <mergeCell ref="D225:N225"/>
    <mergeCell ref="D230:N230"/>
    <mergeCell ref="D233:N233"/>
    <mergeCell ref="D235:N235"/>
    <mergeCell ref="D192:N192"/>
    <mergeCell ref="D195:N195"/>
    <mergeCell ref="D197:N197"/>
    <mergeCell ref="D199:N199"/>
    <mergeCell ref="D203:N203"/>
    <mergeCell ref="D205:N205"/>
    <mergeCell ref="D256:N256"/>
    <mergeCell ref="D259:N259"/>
    <mergeCell ref="D261:N261"/>
    <mergeCell ref="D263:N263"/>
    <mergeCell ref="D268:N268"/>
    <mergeCell ref="D270:N270"/>
    <mergeCell ref="D238:N238"/>
    <mergeCell ref="D240:N240"/>
    <mergeCell ref="D242:N242"/>
    <mergeCell ref="D247:N247"/>
    <mergeCell ref="D250:N250"/>
    <mergeCell ref="D252:N252"/>
    <mergeCell ref="D302:N302"/>
    <mergeCell ref="D304:N304"/>
    <mergeCell ref="H305:I305"/>
    <mergeCell ref="A307:N307"/>
    <mergeCell ref="D273:N273"/>
    <mergeCell ref="D276:N276"/>
    <mergeCell ref="D278:N278"/>
    <mergeCell ref="D289:N289"/>
    <mergeCell ref="D291:N291"/>
    <mergeCell ref="D294:N294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F23" sqref="F23"/>
    </sheetView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10" ht="72.900000000000006" customHeight="1" x14ac:dyDescent="0.25">
      <c r="A1" s="83"/>
      <c r="B1" s="7"/>
      <c r="C1" s="127" t="s">
        <v>888</v>
      </c>
      <c r="D1" s="128"/>
      <c r="E1" s="128"/>
      <c r="F1" s="128"/>
      <c r="G1" s="128"/>
      <c r="H1" s="128"/>
      <c r="I1" s="128"/>
    </row>
    <row r="2" spans="1:10" x14ac:dyDescent="0.25">
      <c r="A2" s="129" t="s">
        <v>1</v>
      </c>
      <c r="B2" s="130"/>
      <c r="C2" s="131" t="str">
        <f>'Stavební rozpočet'!D2</f>
        <v>Vestavba zkušebních komor, Brno-Medlánky OPRAVA 07/2019</v>
      </c>
      <c r="D2" s="132"/>
      <c r="E2" s="134" t="s">
        <v>605</v>
      </c>
      <c r="F2" s="134" t="str">
        <f>'Stavební rozpočet'!I2</f>
        <v>Strojírenský zkušební ústav, s.p. zastoupená ředitelem Ing. Tomášem Hruškou</v>
      </c>
      <c r="G2" s="130"/>
      <c r="H2" s="134" t="s">
        <v>874</v>
      </c>
      <c r="I2" s="135" t="s">
        <v>878</v>
      </c>
      <c r="J2" s="33"/>
    </row>
    <row r="3" spans="1:10" ht="23.25" customHeight="1" x14ac:dyDescent="0.25">
      <c r="A3" s="122"/>
      <c r="B3" s="115"/>
      <c r="C3" s="133"/>
      <c r="D3" s="133"/>
      <c r="E3" s="115"/>
      <c r="F3" s="115"/>
      <c r="G3" s="115"/>
      <c r="H3" s="115"/>
      <c r="I3" s="124"/>
      <c r="J3" s="33"/>
    </row>
    <row r="4" spans="1:10" x14ac:dyDescent="0.25">
      <c r="A4" s="114" t="s">
        <v>2</v>
      </c>
      <c r="B4" s="115"/>
      <c r="C4" s="118">
        <f>'Stavební rozpočet'!D4</f>
        <v>0</v>
      </c>
      <c r="D4" s="115"/>
      <c r="E4" s="118" t="s">
        <v>606</v>
      </c>
      <c r="F4" s="118" t="str">
        <f>'Stavební rozpočet'!I4</f>
        <v xml:space="preserve"> A77 architektonický ateliér Brno, s.r.o.</v>
      </c>
      <c r="G4" s="115"/>
      <c r="H4" s="118" t="s">
        <v>874</v>
      </c>
      <c r="I4" s="123" t="s">
        <v>879</v>
      </c>
      <c r="J4" s="33"/>
    </row>
    <row r="5" spans="1:10" x14ac:dyDescent="0.25">
      <c r="A5" s="122"/>
      <c r="B5" s="115"/>
      <c r="C5" s="115"/>
      <c r="D5" s="115"/>
      <c r="E5" s="115"/>
      <c r="F5" s="115"/>
      <c r="G5" s="115"/>
      <c r="H5" s="115"/>
      <c r="I5" s="124"/>
      <c r="J5" s="33"/>
    </row>
    <row r="6" spans="1:10" x14ac:dyDescent="0.25">
      <c r="A6" s="114" t="s">
        <v>3</v>
      </c>
      <c r="B6" s="115"/>
      <c r="C6" s="118">
        <f>'Stavební rozpočet'!D6</f>
        <v>0</v>
      </c>
      <c r="D6" s="115"/>
      <c r="E6" s="118" t="s">
        <v>607</v>
      </c>
      <c r="F6" s="118">
        <f>'Stavební rozpočet'!I6</f>
        <v>0</v>
      </c>
      <c r="G6" s="115"/>
      <c r="H6" s="118" t="s">
        <v>874</v>
      </c>
      <c r="I6" s="125"/>
      <c r="J6" s="33"/>
    </row>
    <row r="7" spans="1:10" x14ac:dyDescent="0.25">
      <c r="A7" s="122"/>
      <c r="B7" s="115"/>
      <c r="C7" s="115"/>
      <c r="D7" s="115"/>
      <c r="E7" s="115"/>
      <c r="F7" s="115"/>
      <c r="G7" s="115"/>
      <c r="H7" s="115"/>
      <c r="I7" s="126"/>
      <c r="J7" s="33"/>
    </row>
    <row r="8" spans="1:10" x14ac:dyDescent="0.25">
      <c r="A8" s="114" t="s">
        <v>587</v>
      </c>
      <c r="B8" s="115"/>
      <c r="C8" s="118" t="str">
        <f>'Stavební rozpočet'!G4</f>
        <v> </v>
      </c>
      <c r="D8" s="115"/>
      <c r="E8" s="118" t="s">
        <v>588</v>
      </c>
      <c r="F8" s="118" t="str">
        <f>'Stavební rozpočet'!G6</f>
        <v> </v>
      </c>
      <c r="G8" s="115"/>
      <c r="H8" s="119" t="s">
        <v>875</v>
      </c>
      <c r="I8" s="123" t="s">
        <v>145</v>
      </c>
      <c r="J8" s="33"/>
    </row>
    <row r="9" spans="1:10" x14ac:dyDescent="0.25">
      <c r="A9" s="122"/>
      <c r="B9" s="115"/>
      <c r="C9" s="115"/>
      <c r="D9" s="115"/>
      <c r="E9" s="115"/>
      <c r="F9" s="115"/>
      <c r="G9" s="115"/>
      <c r="H9" s="115"/>
      <c r="I9" s="124"/>
      <c r="J9" s="33"/>
    </row>
    <row r="10" spans="1:10" x14ac:dyDescent="0.25">
      <c r="A10" s="114" t="s">
        <v>4</v>
      </c>
      <c r="B10" s="115"/>
      <c r="C10" s="118">
        <f>'Stavební rozpočet'!D8</f>
        <v>8021974</v>
      </c>
      <c r="D10" s="115"/>
      <c r="E10" s="118" t="s">
        <v>608</v>
      </c>
      <c r="F10" s="118" t="str">
        <f>'Stavební rozpočet'!I8</f>
        <v>Ing. Václav Holub</v>
      </c>
      <c r="G10" s="115"/>
      <c r="H10" s="118" t="s">
        <v>589</v>
      </c>
      <c r="I10" s="120" t="str">
        <f>'Stavební rozpočet'!G8</f>
        <v>15.07.2019</v>
      </c>
      <c r="J10" s="33"/>
    </row>
    <row r="11" spans="1:10" ht="13.8" thickBot="1" x14ac:dyDescent="0.3">
      <c r="A11" s="116"/>
      <c r="B11" s="117"/>
      <c r="C11" s="117"/>
      <c r="D11" s="117"/>
      <c r="E11" s="117"/>
      <c r="F11" s="117"/>
      <c r="G11" s="117"/>
      <c r="H11" s="137"/>
      <c r="I11" s="186"/>
      <c r="J11" s="33"/>
    </row>
    <row r="12" spans="1:10" x14ac:dyDescent="0.25">
      <c r="A12" s="8"/>
      <c r="B12" s="8"/>
      <c r="C12" s="8"/>
      <c r="D12" s="8"/>
      <c r="E12" s="8"/>
      <c r="F12" s="8"/>
      <c r="G12" s="8"/>
      <c r="H12" s="8"/>
      <c r="I12" s="8"/>
    </row>
    <row r="13" spans="1:10" ht="15.15" customHeight="1" x14ac:dyDescent="0.25">
      <c r="A13" s="167" t="s">
        <v>880</v>
      </c>
      <c r="B13" s="168"/>
      <c r="C13" s="168"/>
      <c r="D13" s="168"/>
      <c r="E13" s="168"/>
      <c r="F13" s="74"/>
      <c r="G13" s="74"/>
      <c r="H13" s="74"/>
      <c r="I13" s="74"/>
    </row>
    <row r="14" spans="1:10" x14ac:dyDescent="0.25">
      <c r="A14" s="169" t="s">
        <v>881</v>
      </c>
      <c r="B14" s="170"/>
      <c r="C14" s="170"/>
      <c r="D14" s="170"/>
      <c r="E14" s="171"/>
      <c r="F14" s="75" t="s">
        <v>889</v>
      </c>
      <c r="G14" s="75" t="s">
        <v>616</v>
      </c>
      <c r="H14" s="75" t="s">
        <v>890</v>
      </c>
      <c r="I14" s="75" t="s">
        <v>889</v>
      </c>
      <c r="J14" s="34"/>
    </row>
    <row r="15" spans="1:10" x14ac:dyDescent="0.25">
      <c r="A15" s="172" t="s">
        <v>851</v>
      </c>
      <c r="B15" s="173"/>
      <c r="C15" s="173"/>
      <c r="D15" s="173"/>
      <c r="E15" s="174"/>
      <c r="F15" s="76">
        <v>0</v>
      </c>
      <c r="G15" s="79"/>
      <c r="H15" s="79"/>
      <c r="I15" s="76">
        <f>F15</f>
        <v>0</v>
      </c>
      <c r="J15" s="33"/>
    </row>
    <row r="16" spans="1:10" x14ac:dyDescent="0.25">
      <c r="A16" s="172" t="s">
        <v>852</v>
      </c>
      <c r="B16" s="173"/>
      <c r="C16" s="173"/>
      <c r="D16" s="173"/>
      <c r="E16" s="174"/>
      <c r="F16" s="76">
        <v>0</v>
      </c>
      <c r="G16" s="79"/>
      <c r="H16" s="79"/>
      <c r="I16" s="76">
        <f>F16</f>
        <v>0</v>
      </c>
      <c r="J16" s="33"/>
    </row>
    <row r="17" spans="1:10" x14ac:dyDescent="0.25">
      <c r="A17" s="155" t="s">
        <v>853</v>
      </c>
      <c r="B17" s="156"/>
      <c r="C17" s="156"/>
      <c r="D17" s="156"/>
      <c r="E17" s="157"/>
      <c r="F17" s="77">
        <v>0</v>
      </c>
      <c r="G17" s="80"/>
      <c r="H17" s="80"/>
      <c r="I17" s="77">
        <f>F17</f>
        <v>0</v>
      </c>
      <c r="J17" s="33"/>
    </row>
    <row r="18" spans="1:10" x14ac:dyDescent="0.25">
      <c r="A18" s="158" t="s">
        <v>882</v>
      </c>
      <c r="B18" s="159"/>
      <c r="C18" s="159"/>
      <c r="D18" s="159"/>
      <c r="E18" s="160"/>
      <c r="F18" s="78"/>
      <c r="G18" s="81"/>
      <c r="H18" s="81"/>
      <c r="I18" s="82">
        <f>SUM(I15:I17)</f>
        <v>0</v>
      </c>
      <c r="J18" s="34"/>
    </row>
    <row r="19" spans="1:10" x14ac:dyDescent="0.25">
      <c r="A19" s="73"/>
      <c r="B19" s="73"/>
      <c r="C19" s="73"/>
      <c r="D19" s="73"/>
      <c r="E19" s="73"/>
      <c r="F19" s="73"/>
      <c r="G19" s="73"/>
      <c r="H19" s="73"/>
      <c r="I19" s="73"/>
    </row>
    <row r="20" spans="1:10" x14ac:dyDescent="0.25">
      <c r="A20" s="169" t="s">
        <v>877</v>
      </c>
      <c r="B20" s="170"/>
      <c r="C20" s="170"/>
      <c r="D20" s="170"/>
      <c r="E20" s="171"/>
      <c r="F20" s="75" t="s">
        <v>889</v>
      </c>
      <c r="G20" s="75" t="s">
        <v>616</v>
      </c>
      <c r="H20" s="75" t="s">
        <v>890</v>
      </c>
      <c r="I20" s="75" t="s">
        <v>889</v>
      </c>
      <c r="J20" s="34"/>
    </row>
    <row r="21" spans="1:10" x14ac:dyDescent="0.25">
      <c r="A21" s="172" t="s">
        <v>861</v>
      </c>
      <c r="B21" s="173"/>
      <c r="C21" s="173"/>
      <c r="D21" s="173"/>
      <c r="E21" s="174"/>
      <c r="F21" s="84"/>
      <c r="G21" s="79"/>
      <c r="H21" s="79"/>
      <c r="I21" s="76">
        <f t="shared" ref="I21:I26" si="0">F21</f>
        <v>0</v>
      </c>
      <c r="J21" s="33"/>
    </row>
    <row r="22" spans="1:10" x14ac:dyDescent="0.25">
      <c r="A22" s="172" t="s">
        <v>862</v>
      </c>
      <c r="B22" s="173"/>
      <c r="C22" s="173"/>
      <c r="D22" s="173"/>
      <c r="E22" s="174"/>
      <c r="F22" s="76">
        <v>0</v>
      </c>
      <c r="G22" s="79"/>
      <c r="H22" s="79"/>
      <c r="I22" s="76">
        <f t="shared" si="0"/>
        <v>0</v>
      </c>
      <c r="J22" s="33"/>
    </row>
    <row r="23" spans="1:10" x14ac:dyDescent="0.25">
      <c r="A23" s="172" t="s">
        <v>863</v>
      </c>
      <c r="B23" s="173"/>
      <c r="C23" s="173"/>
      <c r="D23" s="173"/>
      <c r="E23" s="174"/>
      <c r="F23" s="76">
        <v>0</v>
      </c>
      <c r="G23" s="79"/>
      <c r="H23" s="79"/>
      <c r="I23" s="76">
        <f t="shared" si="0"/>
        <v>0</v>
      </c>
      <c r="J23" s="33"/>
    </row>
    <row r="24" spans="1:10" x14ac:dyDescent="0.25">
      <c r="A24" s="172" t="s">
        <v>864</v>
      </c>
      <c r="B24" s="173"/>
      <c r="C24" s="173"/>
      <c r="D24" s="173"/>
      <c r="E24" s="174"/>
      <c r="F24" s="76">
        <v>0</v>
      </c>
      <c r="G24" s="79"/>
      <c r="H24" s="79"/>
      <c r="I24" s="76">
        <f t="shared" si="0"/>
        <v>0</v>
      </c>
      <c r="J24" s="33"/>
    </row>
    <row r="25" spans="1:10" x14ac:dyDescent="0.25">
      <c r="A25" s="172" t="s">
        <v>865</v>
      </c>
      <c r="B25" s="173"/>
      <c r="C25" s="173"/>
      <c r="D25" s="173"/>
      <c r="E25" s="174"/>
      <c r="F25" s="76">
        <v>0</v>
      </c>
      <c r="G25" s="79"/>
      <c r="H25" s="79"/>
      <c r="I25" s="76">
        <f t="shared" si="0"/>
        <v>0</v>
      </c>
      <c r="J25" s="33"/>
    </row>
    <row r="26" spans="1:10" x14ac:dyDescent="0.25">
      <c r="A26" s="155" t="s">
        <v>866</v>
      </c>
      <c r="B26" s="156"/>
      <c r="C26" s="156"/>
      <c r="D26" s="156"/>
      <c r="E26" s="157"/>
      <c r="F26" s="77">
        <v>0</v>
      </c>
      <c r="G26" s="80"/>
      <c r="H26" s="80"/>
      <c r="I26" s="77">
        <f t="shared" si="0"/>
        <v>0</v>
      </c>
      <c r="J26" s="33"/>
    </row>
    <row r="27" spans="1:10" x14ac:dyDescent="0.25">
      <c r="A27" s="158" t="s">
        <v>883</v>
      </c>
      <c r="B27" s="159"/>
      <c r="C27" s="159"/>
      <c r="D27" s="159"/>
      <c r="E27" s="160"/>
      <c r="F27" s="78"/>
      <c r="G27" s="81"/>
      <c r="H27" s="81"/>
      <c r="I27" s="82">
        <f>SUM(I21:I26)</f>
        <v>0</v>
      </c>
      <c r="J27" s="34"/>
    </row>
    <row r="28" spans="1:10" x14ac:dyDescent="0.25">
      <c r="A28" s="73"/>
      <c r="B28" s="73"/>
      <c r="C28" s="73"/>
      <c r="D28" s="73"/>
      <c r="E28" s="73"/>
      <c r="F28" s="73"/>
      <c r="G28" s="73"/>
      <c r="H28" s="73"/>
      <c r="I28" s="73"/>
    </row>
    <row r="29" spans="1:10" ht="15.15" customHeight="1" x14ac:dyDescent="0.25">
      <c r="A29" s="161" t="s">
        <v>884</v>
      </c>
      <c r="B29" s="162"/>
      <c r="C29" s="162"/>
      <c r="D29" s="162"/>
      <c r="E29" s="163"/>
      <c r="F29" s="164">
        <f>I18+I27</f>
        <v>0</v>
      </c>
      <c r="G29" s="165"/>
      <c r="H29" s="165"/>
      <c r="I29" s="166"/>
      <c r="J29" s="34"/>
    </row>
    <row r="30" spans="1:10" x14ac:dyDescent="0.25">
      <c r="A30" s="64"/>
      <c r="B30" s="64"/>
      <c r="C30" s="64"/>
      <c r="D30" s="64"/>
      <c r="E30" s="64"/>
      <c r="F30" s="64"/>
      <c r="G30" s="64"/>
      <c r="H30" s="64"/>
      <c r="I30" s="64"/>
    </row>
    <row r="33" spans="1:10" ht="15.15" customHeight="1" x14ac:dyDescent="0.25">
      <c r="A33" s="167" t="s">
        <v>885</v>
      </c>
      <c r="B33" s="168"/>
      <c r="C33" s="168"/>
      <c r="D33" s="168"/>
      <c r="E33" s="168"/>
      <c r="F33" s="74"/>
      <c r="G33" s="74"/>
      <c r="H33" s="74"/>
      <c r="I33" s="74"/>
    </row>
    <row r="34" spans="1:10" x14ac:dyDescent="0.25">
      <c r="A34" s="169" t="s">
        <v>886</v>
      </c>
      <c r="B34" s="170"/>
      <c r="C34" s="170"/>
      <c r="D34" s="170"/>
      <c r="E34" s="171"/>
      <c r="F34" s="75" t="s">
        <v>889</v>
      </c>
      <c r="G34" s="75" t="s">
        <v>616</v>
      </c>
      <c r="H34" s="75" t="s">
        <v>890</v>
      </c>
      <c r="I34" s="75" t="s">
        <v>889</v>
      </c>
      <c r="J34" s="34"/>
    </row>
    <row r="35" spans="1:10" x14ac:dyDescent="0.25">
      <c r="A35" s="155"/>
      <c r="B35" s="156"/>
      <c r="C35" s="156"/>
      <c r="D35" s="156"/>
      <c r="E35" s="157"/>
      <c r="F35" s="77">
        <v>0</v>
      </c>
      <c r="G35" s="80"/>
      <c r="H35" s="80"/>
      <c r="I35" s="77">
        <f>F35</f>
        <v>0</v>
      </c>
      <c r="J35" s="33"/>
    </row>
    <row r="36" spans="1:10" x14ac:dyDescent="0.25">
      <c r="A36" s="158" t="s">
        <v>887</v>
      </c>
      <c r="B36" s="159"/>
      <c r="C36" s="159"/>
      <c r="D36" s="159"/>
      <c r="E36" s="160"/>
      <c r="F36" s="78"/>
      <c r="G36" s="81"/>
      <c r="H36" s="81"/>
      <c r="I36" s="82">
        <f>SUM(I35:I35)</f>
        <v>0</v>
      </c>
      <c r="J36" s="34"/>
    </row>
    <row r="37" spans="1:10" x14ac:dyDescent="0.25">
      <c r="A37" s="64"/>
      <c r="B37" s="64"/>
      <c r="C37" s="64"/>
      <c r="D37" s="64"/>
      <c r="E37" s="64"/>
      <c r="F37" s="64"/>
      <c r="G37" s="64"/>
      <c r="H37" s="64"/>
      <c r="I37" s="64"/>
    </row>
  </sheetData>
  <mergeCells count="51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H10:H11"/>
    <mergeCell ref="I10:I11"/>
    <mergeCell ref="A8:B9"/>
    <mergeCell ref="C8:D9"/>
    <mergeCell ref="E8:E9"/>
    <mergeCell ref="F8:G9"/>
    <mergeCell ref="H8:H9"/>
    <mergeCell ref="I8:I9"/>
    <mergeCell ref="A18:E18"/>
    <mergeCell ref="A10:B11"/>
    <mergeCell ref="C10:D11"/>
    <mergeCell ref="E10:E11"/>
    <mergeCell ref="F10:G11"/>
    <mergeCell ref="A13:E13"/>
    <mergeCell ref="A14:E14"/>
    <mergeCell ref="A15:E15"/>
    <mergeCell ref="A16:E16"/>
    <mergeCell ref="A17:E17"/>
    <mergeCell ref="F29:I29"/>
    <mergeCell ref="A33:E33"/>
    <mergeCell ref="A34:E34"/>
    <mergeCell ref="A20:E20"/>
    <mergeCell ref="A21:E21"/>
    <mergeCell ref="A22:E22"/>
    <mergeCell ref="A23:E23"/>
    <mergeCell ref="A24:E24"/>
    <mergeCell ref="A25:E25"/>
    <mergeCell ref="A35:E35"/>
    <mergeCell ref="A36:E36"/>
    <mergeCell ref="A26:E26"/>
    <mergeCell ref="A27:E27"/>
    <mergeCell ref="A29:E29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3"/>
  <sheetViews>
    <sheetView workbookViewId="0">
      <pane ySplit="10" topLeftCell="A11" activePane="bottomLeft" state="frozenSplit"/>
      <selection pane="bottomLeft" activeCell="E8" sqref="E8:E9"/>
    </sheetView>
  </sheetViews>
  <sheetFormatPr defaultColWidth="11.5546875" defaultRowHeight="13.2" x14ac:dyDescent="0.25"/>
  <cols>
    <col min="1" max="2" width="9.109375" customWidth="1"/>
    <col min="3" max="3" width="13.33203125" customWidth="1"/>
    <col min="4" max="4" width="91.44140625" customWidth="1"/>
    <col min="5" max="5" width="14.5546875" customWidth="1"/>
    <col min="6" max="6" width="103.44140625" bestFit="1" customWidth="1"/>
    <col min="7" max="7" width="20.44140625" customWidth="1"/>
    <col min="8" max="8" width="16.44140625" customWidth="1"/>
  </cols>
  <sheetData>
    <row r="1" spans="1:9" ht="72.900000000000006" customHeight="1" x14ac:dyDescent="0.4">
      <c r="A1" s="139" t="s">
        <v>692</v>
      </c>
      <c r="B1" s="128"/>
      <c r="C1" s="128"/>
      <c r="D1" s="128"/>
      <c r="E1" s="128"/>
      <c r="F1" s="128"/>
      <c r="G1" s="128"/>
      <c r="H1" s="128"/>
    </row>
    <row r="2" spans="1:9" x14ac:dyDescent="0.25">
      <c r="A2" s="129" t="s">
        <v>1</v>
      </c>
      <c r="B2" s="130"/>
      <c r="C2" s="131" t="str">
        <f>'Stavební rozpočet'!D2</f>
        <v>Vestavba zkušebních komor, Brno-Medlánky OPRAVA 07/2019</v>
      </c>
      <c r="D2" s="132"/>
      <c r="E2" s="134" t="s">
        <v>605</v>
      </c>
      <c r="F2" s="134" t="str">
        <f>'Stavební rozpočet'!I2</f>
        <v>Strojírenský zkušební ústav, s.p. zastoupená ředitelem Ing. Tomášem Hruškou</v>
      </c>
      <c r="G2" s="130"/>
      <c r="H2" s="140"/>
      <c r="I2" s="33"/>
    </row>
    <row r="3" spans="1:9" x14ac:dyDescent="0.25">
      <c r="A3" s="122"/>
      <c r="B3" s="115"/>
      <c r="C3" s="133"/>
      <c r="D3" s="133"/>
      <c r="E3" s="115"/>
      <c r="F3" s="115"/>
      <c r="G3" s="115"/>
      <c r="H3" s="124"/>
      <c r="I3" s="33"/>
    </row>
    <row r="4" spans="1:9" x14ac:dyDescent="0.25">
      <c r="A4" s="114" t="s">
        <v>2</v>
      </c>
      <c r="B4" s="115"/>
      <c r="C4" s="118"/>
      <c r="D4" s="115"/>
      <c r="E4" s="118" t="s">
        <v>606</v>
      </c>
      <c r="F4" s="118" t="str">
        <f>'Stavební rozpočet'!I4</f>
        <v xml:space="preserve"> A77 architektonický ateliér Brno, s.r.o.</v>
      </c>
      <c r="G4" s="115"/>
      <c r="H4" s="124"/>
      <c r="I4" s="33"/>
    </row>
    <row r="5" spans="1:9" x14ac:dyDescent="0.25">
      <c r="A5" s="122"/>
      <c r="B5" s="115"/>
      <c r="C5" s="115"/>
      <c r="D5" s="115"/>
      <c r="E5" s="115"/>
      <c r="F5" s="115"/>
      <c r="G5" s="115"/>
      <c r="H5" s="124"/>
      <c r="I5" s="33"/>
    </row>
    <row r="6" spans="1:9" x14ac:dyDescent="0.25">
      <c r="A6" s="114" t="s">
        <v>3</v>
      </c>
      <c r="B6" s="115"/>
      <c r="C6" s="118"/>
      <c r="D6" s="115"/>
      <c r="E6" s="118" t="s">
        <v>607</v>
      </c>
      <c r="F6" s="93"/>
      <c r="G6" s="94"/>
      <c r="H6" s="126"/>
      <c r="I6" s="33"/>
    </row>
    <row r="7" spans="1:9" x14ac:dyDescent="0.25">
      <c r="A7" s="122"/>
      <c r="B7" s="115"/>
      <c r="C7" s="115"/>
      <c r="D7" s="115"/>
      <c r="E7" s="115"/>
      <c r="F7" s="94"/>
      <c r="G7" s="94"/>
      <c r="H7" s="126"/>
      <c r="I7" s="33"/>
    </row>
    <row r="8" spans="1:9" x14ac:dyDescent="0.25">
      <c r="A8" s="114" t="s">
        <v>608</v>
      </c>
      <c r="B8" s="115"/>
      <c r="C8" s="118" t="str">
        <f>'Stavební rozpočet'!I8</f>
        <v>Ing. Václav Holub</v>
      </c>
      <c r="D8" s="115"/>
      <c r="E8" s="118" t="s">
        <v>589</v>
      </c>
      <c r="F8" s="118" t="str">
        <f>'Stavební rozpočet'!G8</f>
        <v>15.07.2019</v>
      </c>
      <c r="G8" s="115"/>
      <c r="H8" s="124"/>
      <c r="I8" s="33"/>
    </row>
    <row r="9" spans="1:9" x14ac:dyDescent="0.25">
      <c r="A9" s="136"/>
      <c r="B9" s="137"/>
      <c r="C9" s="137"/>
      <c r="D9" s="137"/>
      <c r="E9" s="137"/>
      <c r="F9" s="137"/>
      <c r="G9" s="137"/>
      <c r="H9" s="138"/>
      <c r="I9" s="33"/>
    </row>
    <row r="10" spans="1:9" x14ac:dyDescent="0.25">
      <c r="A10" s="46" t="s">
        <v>5</v>
      </c>
      <c r="B10" s="47" t="s">
        <v>148</v>
      </c>
      <c r="C10" s="47" t="s">
        <v>149</v>
      </c>
      <c r="D10" s="47" t="s">
        <v>306</v>
      </c>
      <c r="E10" s="47" t="s">
        <v>590</v>
      </c>
      <c r="F10" s="47" t="s">
        <v>307</v>
      </c>
      <c r="G10" s="55" t="s">
        <v>600</v>
      </c>
      <c r="H10" s="44" t="s">
        <v>833</v>
      </c>
      <c r="I10" s="34"/>
    </row>
    <row r="11" spans="1:9" x14ac:dyDescent="0.25">
      <c r="A11" s="53" t="s">
        <v>7</v>
      </c>
      <c r="B11" s="53"/>
      <c r="C11" s="53" t="s">
        <v>150</v>
      </c>
      <c r="D11" s="53" t="s">
        <v>309</v>
      </c>
      <c r="E11" s="53" t="s">
        <v>591</v>
      </c>
      <c r="F11" s="53" t="s">
        <v>695</v>
      </c>
      <c r="G11" s="56">
        <v>28.5</v>
      </c>
      <c r="H11" s="57" t="s">
        <v>620</v>
      </c>
    </row>
    <row r="12" spans="1:9" ht="38.4" customHeight="1" x14ac:dyDescent="0.25">
      <c r="C12" s="54" t="s">
        <v>151</v>
      </c>
      <c r="D12" s="141" t="s">
        <v>311</v>
      </c>
      <c r="E12" s="142"/>
      <c r="F12" s="142"/>
      <c r="G12" s="142"/>
    </row>
    <row r="13" spans="1:9" x14ac:dyDescent="0.25">
      <c r="A13" s="4" t="s">
        <v>8</v>
      </c>
      <c r="B13" s="4"/>
      <c r="C13" s="4" t="s">
        <v>152</v>
      </c>
      <c r="D13" s="4" t="s">
        <v>312</v>
      </c>
      <c r="E13" s="4" t="s">
        <v>591</v>
      </c>
      <c r="F13" s="4" t="s">
        <v>695</v>
      </c>
      <c r="G13" s="20">
        <v>28.5</v>
      </c>
      <c r="H13" s="31" t="s">
        <v>620</v>
      </c>
    </row>
    <row r="14" spans="1:9" ht="25.65" customHeight="1" x14ac:dyDescent="0.25">
      <c r="C14" s="54" t="s">
        <v>151</v>
      </c>
      <c r="D14" s="141" t="s">
        <v>313</v>
      </c>
      <c r="E14" s="142"/>
      <c r="F14" s="142"/>
      <c r="G14" s="142"/>
    </row>
    <row r="15" spans="1:9" x14ac:dyDescent="0.25">
      <c r="A15" s="4" t="s">
        <v>9</v>
      </c>
      <c r="B15" s="4"/>
      <c r="C15" s="4" t="s">
        <v>153</v>
      </c>
      <c r="D15" s="4" t="s">
        <v>315</v>
      </c>
      <c r="E15" s="4" t="s">
        <v>592</v>
      </c>
      <c r="G15" s="20">
        <v>40.236600000000003</v>
      </c>
      <c r="H15" s="31" t="s">
        <v>620</v>
      </c>
    </row>
    <row r="16" spans="1:9" x14ac:dyDescent="0.25">
      <c r="F16" s="4" t="s">
        <v>696</v>
      </c>
      <c r="G16" s="20">
        <v>24.561599999999999</v>
      </c>
    </row>
    <row r="17" spans="1:8" x14ac:dyDescent="0.25">
      <c r="A17" s="4"/>
      <c r="B17" s="4"/>
      <c r="C17" s="4"/>
      <c r="D17" s="4"/>
      <c r="E17" s="4"/>
      <c r="F17" s="4" t="s">
        <v>697</v>
      </c>
      <c r="G17" s="20">
        <v>15.675000000000001</v>
      </c>
    </row>
    <row r="18" spans="1:8" ht="38.4" customHeight="1" x14ac:dyDescent="0.25">
      <c r="C18" s="54" t="s">
        <v>151</v>
      </c>
      <c r="D18" s="141" t="s">
        <v>316</v>
      </c>
      <c r="E18" s="142"/>
      <c r="F18" s="142"/>
      <c r="G18" s="142"/>
    </row>
    <row r="19" spans="1:8" x14ac:dyDescent="0.25">
      <c r="A19" s="4" t="s">
        <v>10</v>
      </c>
      <c r="B19" s="4"/>
      <c r="C19" s="4" t="s">
        <v>154</v>
      </c>
      <c r="D19" s="4" t="s">
        <v>318</v>
      </c>
      <c r="E19" s="4" t="s">
        <v>592</v>
      </c>
      <c r="G19" s="20">
        <v>40.2136</v>
      </c>
      <c r="H19" s="31" t="s">
        <v>620</v>
      </c>
    </row>
    <row r="20" spans="1:8" x14ac:dyDescent="0.25">
      <c r="F20" s="4" t="s">
        <v>698</v>
      </c>
      <c r="G20" s="20">
        <v>30.1</v>
      </c>
    </row>
    <row r="21" spans="1:8" x14ac:dyDescent="0.25">
      <c r="A21" s="4"/>
      <c r="B21" s="4"/>
      <c r="C21" s="4"/>
      <c r="D21" s="4"/>
      <c r="E21" s="4"/>
      <c r="F21" s="4" t="s">
        <v>699</v>
      </c>
      <c r="G21" s="20">
        <v>10.1136</v>
      </c>
    </row>
    <row r="22" spans="1:8" ht="12.9" customHeight="1" x14ac:dyDescent="0.25">
      <c r="C22" s="54" t="s">
        <v>151</v>
      </c>
      <c r="D22" s="141" t="s">
        <v>319</v>
      </c>
      <c r="E22" s="142"/>
      <c r="F22" s="142"/>
      <c r="G22" s="142"/>
    </row>
    <row r="23" spans="1:8" x14ac:dyDescent="0.25">
      <c r="A23" s="4" t="s">
        <v>11</v>
      </c>
      <c r="B23" s="4"/>
      <c r="C23" s="4" t="s">
        <v>155</v>
      </c>
      <c r="D23" s="4" t="s">
        <v>321</v>
      </c>
      <c r="E23" s="4" t="s">
        <v>592</v>
      </c>
      <c r="F23" s="4" t="s">
        <v>700</v>
      </c>
      <c r="G23" s="20">
        <v>1.9530000000000001</v>
      </c>
      <c r="H23" s="31" t="s">
        <v>620</v>
      </c>
    </row>
    <row r="24" spans="1:8" ht="12.9" customHeight="1" x14ac:dyDescent="0.25">
      <c r="C24" s="54" t="s">
        <v>151</v>
      </c>
      <c r="D24" s="141" t="s">
        <v>322</v>
      </c>
      <c r="E24" s="142"/>
      <c r="F24" s="142"/>
      <c r="G24" s="142"/>
    </row>
    <row r="25" spans="1:8" x14ac:dyDescent="0.25">
      <c r="A25" s="4" t="s">
        <v>12</v>
      </c>
      <c r="B25" s="4"/>
      <c r="C25" s="4" t="s">
        <v>156</v>
      </c>
      <c r="D25" s="4" t="s">
        <v>323</v>
      </c>
      <c r="E25" s="4" t="s">
        <v>592</v>
      </c>
      <c r="F25" s="4" t="s">
        <v>701</v>
      </c>
      <c r="G25" s="20">
        <v>14.448</v>
      </c>
      <c r="H25" s="31" t="s">
        <v>620</v>
      </c>
    </row>
    <row r="26" spans="1:8" ht="12.9" customHeight="1" x14ac:dyDescent="0.25">
      <c r="C26" s="54" t="s">
        <v>151</v>
      </c>
      <c r="D26" s="141" t="s">
        <v>324</v>
      </c>
      <c r="E26" s="142"/>
      <c r="F26" s="142"/>
      <c r="G26" s="142"/>
    </row>
    <row r="27" spans="1:8" x14ac:dyDescent="0.25">
      <c r="A27" s="4" t="s">
        <v>13</v>
      </c>
      <c r="B27" s="4"/>
      <c r="C27" s="4" t="s">
        <v>157</v>
      </c>
      <c r="D27" s="4" t="s">
        <v>325</v>
      </c>
      <c r="E27" s="4" t="s">
        <v>591</v>
      </c>
      <c r="G27" s="20">
        <v>55.231999999999999</v>
      </c>
      <c r="H27" s="31" t="s">
        <v>620</v>
      </c>
    </row>
    <row r="28" spans="1:8" x14ac:dyDescent="0.25">
      <c r="F28" s="4" t="s">
        <v>702</v>
      </c>
      <c r="G28" s="20">
        <v>38.432000000000002</v>
      </c>
    </row>
    <row r="29" spans="1:8" x14ac:dyDescent="0.25">
      <c r="A29" s="4"/>
      <c r="B29" s="4"/>
      <c r="C29" s="4"/>
      <c r="D29" s="4"/>
      <c r="E29" s="4"/>
      <c r="F29" s="4" t="s">
        <v>703</v>
      </c>
      <c r="G29" s="20">
        <v>16.8</v>
      </c>
    </row>
    <row r="30" spans="1:8" x14ac:dyDescent="0.25">
      <c r="A30" s="4" t="s">
        <v>14</v>
      </c>
      <c r="B30" s="4"/>
      <c r="C30" s="4" t="s">
        <v>158</v>
      </c>
      <c r="D30" s="4" t="s">
        <v>326</v>
      </c>
      <c r="E30" s="4" t="s">
        <v>591</v>
      </c>
      <c r="F30" s="4" t="s">
        <v>704</v>
      </c>
      <c r="G30" s="20">
        <v>55.231999999999999</v>
      </c>
      <c r="H30" s="31" t="s">
        <v>620</v>
      </c>
    </row>
    <row r="31" spans="1:8" x14ac:dyDescent="0.25">
      <c r="A31" s="4" t="s">
        <v>15</v>
      </c>
      <c r="B31" s="4"/>
      <c r="C31" s="4" t="s">
        <v>159</v>
      </c>
      <c r="D31" s="4" t="s">
        <v>327</v>
      </c>
      <c r="E31" s="4" t="s">
        <v>593</v>
      </c>
      <c r="F31" s="4" t="s">
        <v>705</v>
      </c>
      <c r="G31" s="20">
        <v>1.3003199999999999</v>
      </c>
      <c r="H31" s="31" t="s">
        <v>620</v>
      </c>
    </row>
    <row r="32" spans="1:8" ht="25.65" customHeight="1" x14ac:dyDescent="0.25">
      <c r="C32" s="54" t="s">
        <v>151</v>
      </c>
      <c r="D32" s="141" t="s">
        <v>328</v>
      </c>
      <c r="E32" s="142"/>
      <c r="F32" s="142"/>
      <c r="G32" s="142"/>
    </row>
    <row r="33" spans="1:8" x14ac:dyDescent="0.25">
      <c r="A33" s="4" t="s">
        <v>16</v>
      </c>
      <c r="B33" s="4"/>
      <c r="C33" s="4" t="s">
        <v>160</v>
      </c>
      <c r="D33" s="4" t="s">
        <v>329</v>
      </c>
      <c r="E33" s="4" t="s">
        <v>591</v>
      </c>
      <c r="F33" s="4" t="s">
        <v>706</v>
      </c>
      <c r="G33" s="20">
        <v>16.05</v>
      </c>
      <c r="H33" s="31" t="s">
        <v>620</v>
      </c>
    </row>
    <row r="34" spans="1:8" ht="25.65" customHeight="1" x14ac:dyDescent="0.25">
      <c r="C34" s="54" t="s">
        <v>151</v>
      </c>
      <c r="D34" s="141" t="s">
        <v>330</v>
      </c>
      <c r="E34" s="142"/>
      <c r="F34" s="142"/>
      <c r="G34" s="142"/>
    </row>
    <row r="35" spans="1:8" x14ac:dyDescent="0.25">
      <c r="A35" s="4" t="s">
        <v>17</v>
      </c>
      <c r="B35" s="4"/>
      <c r="C35" s="4" t="s">
        <v>161</v>
      </c>
      <c r="D35" s="4" t="s">
        <v>331</v>
      </c>
      <c r="E35" s="4" t="s">
        <v>593</v>
      </c>
      <c r="G35" s="20">
        <v>0.15536</v>
      </c>
      <c r="H35" s="31" t="s">
        <v>620</v>
      </c>
    </row>
    <row r="36" spans="1:8" x14ac:dyDescent="0.25">
      <c r="F36" s="4" t="s">
        <v>707</v>
      </c>
      <c r="G36" s="20">
        <v>0</v>
      </c>
    </row>
    <row r="37" spans="1:8" x14ac:dyDescent="0.25">
      <c r="A37" s="4"/>
      <c r="B37" s="4"/>
      <c r="C37" s="4"/>
      <c r="D37" s="4"/>
      <c r="E37" s="4"/>
      <c r="F37" s="4" t="s">
        <v>708</v>
      </c>
      <c r="G37" s="20">
        <v>0.15536</v>
      </c>
    </row>
    <row r="38" spans="1:8" ht="12.9" customHeight="1" x14ac:dyDescent="0.25">
      <c r="C38" s="54" t="s">
        <v>151</v>
      </c>
      <c r="D38" s="141" t="s">
        <v>332</v>
      </c>
      <c r="E38" s="142"/>
      <c r="F38" s="142"/>
      <c r="G38" s="142"/>
    </row>
    <row r="39" spans="1:8" x14ac:dyDescent="0.25">
      <c r="A39" s="4" t="s">
        <v>18</v>
      </c>
      <c r="B39" s="4"/>
      <c r="C39" s="4" t="s">
        <v>162</v>
      </c>
      <c r="D39" s="4" t="s">
        <v>333</v>
      </c>
      <c r="E39" s="4" t="s">
        <v>592</v>
      </c>
      <c r="F39" s="4" t="s">
        <v>709</v>
      </c>
      <c r="G39" s="20">
        <v>2.52</v>
      </c>
      <c r="H39" s="31" t="s">
        <v>620</v>
      </c>
    </row>
    <row r="40" spans="1:8" x14ac:dyDescent="0.25">
      <c r="A40" s="4" t="s">
        <v>19</v>
      </c>
      <c r="B40" s="4"/>
      <c r="C40" s="4" t="s">
        <v>163</v>
      </c>
      <c r="D40" s="4" t="s">
        <v>336</v>
      </c>
      <c r="E40" s="4" t="s">
        <v>592</v>
      </c>
      <c r="G40" s="20">
        <v>6.1001399999999997</v>
      </c>
      <c r="H40" s="31" t="s">
        <v>620</v>
      </c>
    </row>
    <row r="41" spans="1:8" x14ac:dyDescent="0.25">
      <c r="F41" s="4" t="s">
        <v>710</v>
      </c>
      <c r="G41" s="20">
        <v>1.7877000000000001</v>
      </c>
    </row>
    <row r="42" spans="1:8" x14ac:dyDescent="0.25">
      <c r="A42" s="4"/>
      <c r="B42" s="4"/>
      <c r="C42" s="4"/>
      <c r="D42" s="4"/>
      <c r="E42" s="4"/>
      <c r="F42" s="4" t="s">
        <v>711</v>
      </c>
      <c r="G42" s="20">
        <v>4.3124399999999996</v>
      </c>
    </row>
    <row r="43" spans="1:8" ht="12.9" customHeight="1" x14ac:dyDescent="0.25">
      <c r="C43" s="54" t="s">
        <v>151</v>
      </c>
      <c r="D43" s="141" t="s">
        <v>338</v>
      </c>
      <c r="E43" s="142"/>
      <c r="F43" s="142"/>
      <c r="G43" s="142"/>
    </row>
    <row r="44" spans="1:8" x14ac:dyDescent="0.25">
      <c r="A44" s="4" t="s">
        <v>20</v>
      </c>
      <c r="B44" s="4"/>
      <c r="C44" s="4" t="s">
        <v>164</v>
      </c>
      <c r="D44" s="4" t="s">
        <v>339</v>
      </c>
      <c r="E44" s="4" t="s">
        <v>594</v>
      </c>
      <c r="F44" s="4" t="s">
        <v>712</v>
      </c>
      <c r="G44" s="20">
        <v>10.199999999999999</v>
      </c>
      <c r="H44" s="31" t="s">
        <v>620</v>
      </c>
    </row>
    <row r="45" spans="1:8" ht="12.9" customHeight="1" x14ac:dyDescent="0.25">
      <c r="C45" s="54" t="s">
        <v>151</v>
      </c>
      <c r="D45" s="141" t="s">
        <v>340</v>
      </c>
      <c r="E45" s="142"/>
      <c r="F45" s="142"/>
      <c r="G45" s="142"/>
    </row>
    <row r="46" spans="1:8" x14ac:dyDescent="0.25">
      <c r="A46" s="4" t="s">
        <v>21</v>
      </c>
      <c r="B46" s="4"/>
      <c r="C46" s="4" t="s">
        <v>165</v>
      </c>
      <c r="D46" s="4" t="s">
        <v>341</v>
      </c>
      <c r="E46" s="4" t="s">
        <v>591</v>
      </c>
      <c r="F46" s="4" t="s">
        <v>713</v>
      </c>
      <c r="G46" s="20">
        <v>51.66</v>
      </c>
      <c r="H46" s="31" t="s">
        <v>620</v>
      </c>
    </row>
    <row r="47" spans="1:8" ht="12.9" customHeight="1" x14ac:dyDescent="0.25">
      <c r="C47" s="54" t="s">
        <v>151</v>
      </c>
      <c r="D47" s="141" t="s">
        <v>342</v>
      </c>
      <c r="E47" s="142"/>
      <c r="F47" s="142"/>
      <c r="G47" s="142"/>
    </row>
    <row r="48" spans="1:8" x14ac:dyDescent="0.25">
      <c r="A48" s="4" t="s">
        <v>22</v>
      </c>
      <c r="B48" s="4"/>
      <c r="C48" s="4" t="s">
        <v>166</v>
      </c>
      <c r="D48" s="4" t="s">
        <v>343</v>
      </c>
      <c r="E48" s="4" t="s">
        <v>593</v>
      </c>
      <c r="G48" s="20">
        <v>0.20100000000000001</v>
      </c>
      <c r="H48" s="31" t="s">
        <v>620</v>
      </c>
    </row>
    <row r="49" spans="1:8" x14ac:dyDescent="0.25">
      <c r="F49" s="4" t="s">
        <v>714</v>
      </c>
      <c r="G49" s="20">
        <v>8.0399999999999999E-2</v>
      </c>
    </row>
    <row r="50" spans="1:8" x14ac:dyDescent="0.25">
      <c r="A50" s="4"/>
      <c r="B50" s="4"/>
      <c r="C50" s="4"/>
      <c r="D50" s="4"/>
      <c r="E50" s="4"/>
      <c r="F50" s="4" t="s">
        <v>715</v>
      </c>
      <c r="G50" s="20">
        <v>0.1206</v>
      </c>
    </row>
    <row r="51" spans="1:8" ht="25.65" customHeight="1" x14ac:dyDescent="0.25">
      <c r="C51" s="54" t="s">
        <v>151</v>
      </c>
      <c r="D51" s="141" t="s">
        <v>344</v>
      </c>
      <c r="E51" s="142"/>
      <c r="F51" s="142"/>
      <c r="G51" s="142"/>
    </row>
    <row r="52" spans="1:8" x14ac:dyDescent="0.25">
      <c r="A52" s="4" t="s">
        <v>23</v>
      </c>
      <c r="B52" s="4"/>
      <c r="C52" s="4" t="s">
        <v>167</v>
      </c>
      <c r="D52" s="4" t="s">
        <v>345</v>
      </c>
      <c r="E52" s="4" t="s">
        <v>593</v>
      </c>
      <c r="G52" s="20">
        <v>0.28239999999999998</v>
      </c>
      <c r="H52" s="31" t="s">
        <v>620</v>
      </c>
    </row>
    <row r="53" spans="1:8" x14ac:dyDescent="0.25">
      <c r="F53" s="4" t="s">
        <v>716</v>
      </c>
      <c r="G53" s="20">
        <v>0.1472</v>
      </c>
    </row>
    <row r="54" spans="1:8" x14ac:dyDescent="0.25">
      <c r="A54" s="4"/>
      <c r="B54" s="4"/>
      <c r="C54" s="4"/>
      <c r="D54" s="4"/>
      <c r="E54" s="4"/>
      <c r="F54" s="4" t="s">
        <v>717</v>
      </c>
      <c r="G54" s="20">
        <v>0.13519999999999999</v>
      </c>
    </row>
    <row r="55" spans="1:8" ht="25.65" customHeight="1" x14ac:dyDescent="0.25">
      <c r="C55" s="54" t="s">
        <v>151</v>
      </c>
      <c r="D55" s="141" t="s">
        <v>346</v>
      </c>
      <c r="E55" s="142"/>
      <c r="F55" s="142"/>
      <c r="G55" s="142"/>
    </row>
    <row r="56" spans="1:8" x14ac:dyDescent="0.25">
      <c r="A56" s="4" t="s">
        <v>24</v>
      </c>
      <c r="B56" s="4"/>
      <c r="C56" s="4" t="s">
        <v>168</v>
      </c>
      <c r="D56" s="4" t="s">
        <v>347</v>
      </c>
      <c r="E56" s="4" t="s">
        <v>591</v>
      </c>
      <c r="F56" s="4" t="s">
        <v>718</v>
      </c>
      <c r="G56" s="20">
        <v>171.6</v>
      </c>
      <c r="H56" s="31" t="s">
        <v>620</v>
      </c>
    </row>
    <row r="57" spans="1:8" ht="12.9" customHeight="1" x14ac:dyDescent="0.25">
      <c r="C57" s="54" t="s">
        <v>151</v>
      </c>
      <c r="D57" s="141" t="s">
        <v>349</v>
      </c>
      <c r="E57" s="142"/>
      <c r="F57" s="142"/>
      <c r="G57" s="142"/>
    </row>
    <row r="58" spans="1:8" x14ac:dyDescent="0.25">
      <c r="A58" s="6" t="s">
        <v>25</v>
      </c>
      <c r="B58" s="6"/>
      <c r="C58" s="6" t="s">
        <v>169</v>
      </c>
      <c r="D58" s="6" t="s">
        <v>350</v>
      </c>
      <c r="E58" s="6" t="s">
        <v>591</v>
      </c>
      <c r="G58" s="21">
        <v>175.03200000000001</v>
      </c>
      <c r="H58" s="32" t="s">
        <v>620</v>
      </c>
    </row>
    <row r="59" spans="1:8" x14ac:dyDescent="0.25">
      <c r="F59" s="6" t="s">
        <v>719</v>
      </c>
      <c r="G59" s="21">
        <v>171.6</v>
      </c>
    </row>
    <row r="60" spans="1:8" x14ac:dyDescent="0.25">
      <c r="A60" s="6"/>
      <c r="B60" s="6"/>
      <c r="C60" s="6"/>
      <c r="D60" s="6"/>
      <c r="E60" s="6"/>
      <c r="F60" s="6" t="s">
        <v>720</v>
      </c>
      <c r="G60" s="21">
        <v>3.4319999999999999</v>
      </c>
    </row>
    <row r="61" spans="1:8" ht="51.45" customHeight="1" x14ac:dyDescent="0.25">
      <c r="C61" s="54" t="s">
        <v>151</v>
      </c>
      <c r="D61" s="141" t="s">
        <v>351</v>
      </c>
      <c r="E61" s="142"/>
      <c r="F61" s="142"/>
      <c r="G61" s="142"/>
    </row>
    <row r="62" spans="1:8" x14ac:dyDescent="0.25">
      <c r="A62" s="4" t="s">
        <v>26</v>
      </c>
      <c r="B62" s="4"/>
      <c r="C62" s="4" t="s">
        <v>170</v>
      </c>
      <c r="D62" s="4" t="s">
        <v>353</v>
      </c>
      <c r="E62" s="4" t="s">
        <v>591</v>
      </c>
      <c r="F62" s="4" t="s">
        <v>721</v>
      </c>
      <c r="G62" s="20">
        <v>15.12</v>
      </c>
      <c r="H62" s="31" t="s">
        <v>620</v>
      </c>
    </row>
    <row r="63" spans="1:8" ht="25.65" customHeight="1" x14ac:dyDescent="0.25">
      <c r="C63" s="54" t="s">
        <v>151</v>
      </c>
      <c r="D63" s="141" t="s">
        <v>355</v>
      </c>
      <c r="E63" s="142"/>
      <c r="F63" s="142"/>
      <c r="G63" s="142"/>
    </row>
    <row r="64" spans="1:8" x14ac:dyDescent="0.25">
      <c r="A64" s="4" t="s">
        <v>27</v>
      </c>
      <c r="B64" s="4"/>
      <c r="C64" s="4" t="s">
        <v>171</v>
      </c>
      <c r="D64" s="4" t="s">
        <v>356</v>
      </c>
      <c r="E64" s="4" t="s">
        <v>591</v>
      </c>
      <c r="G64" s="20">
        <v>29.62</v>
      </c>
      <c r="H64" s="31" t="s">
        <v>620</v>
      </c>
    </row>
    <row r="65" spans="1:8" x14ac:dyDescent="0.25">
      <c r="F65" s="4" t="s">
        <v>722</v>
      </c>
      <c r="G65" s="20">
        <v>13.62</v>
      </c>
    </row>
    <row r="66" spans="1:8" x14ac:dyDescent="0.25">
      <c r="A66" s="4"/>
      <c r="B66" s="4"/>
      <c r="C66" s="4"/>
      <c r="D66" s="4"/>
      <c r="E66" s="4"/>
      <c r="F66" s="4" t="s">
        <v>723</v>
      </c>
      <c r="G66" s="20">
        <v>9</v>
      </c>
    </row>
    <row r="67" spans="1:8" x14ac:dyDescent="0.25">
      <c r="A67" s="4"/>
      <c r="B67" s="4"/>
      <c r="C67" s="4"/>
      <c r="D67" s="4"/>
      <c r="E67" s="4"/>
      <c r="F67" s="4" t="s">
        <v>724</v>
      </c>
      <c r="G67" s="20">
        <v>7</v>
      </c>
    </row>
    <row r="68" spans="1:8" ht="12.9" customHeight="1" x14ac:dyDescent="0.25">
      <c r="C68" s="54" t="s">
        <v>151</v>
      </c>
      <c r="D68" s="141" t="s">
        <v>358</v>
      </c>
      <c r="E68" s="142"/>
      <c r="F68" s="142"/>
      <c r="G68" s="142"/>
    </row>
    <row r="69" spans="1:8" x14ac:dyDescent="0.25">
      <c r="A69" s="4" t="s">
        <v>28</v>
      </c>
      <c r="B69" s="4"/>
      <c r="C69" s="4" t="s">
        <v>172</v>
      </c>
      <c r="D69" s="4" t="s">
        <v>360</v>
      </c>
      <c r="E69" s="4" t="s">
        <v>595</v>
      </c>
      <c r="G69" s="20">
        <v>20906.349999999999</v>
      </c>
      <c r="H69" s="31" t="s">
        <v>620</v>
      </c>
    </row>
    <row r="70" spans="1:8" x14ac:dyDescent="0.25">
      <c r="F70" s="4" t="s">
        <v>725</v>
      </c>
      <c r="G70" s="20">
        <v>15486.45</v>
      </c>
    </row>
    <row r="71" spans="1:8" x14ac:dyDescent="0.25">
      <c r="A71" s="4"/>
      <c r="B71" s="4"/>
      <c r="C71" s="4"/>
      <c r="D71" s="4"/>
      <c r="E71" s="4"/>
      <c r="F71" s="4" t="s">
        <v>726</v>
      </c>
      <c r="G71" s="20">
        <v>1935.5</v>
      </c>
    </row>
    <row r="72" spans="1:8" x14ac:dyDescent="0.25">
      <c r="A72" s="4"/>
      <c r="B72" s="4"/>
      <c r="C72" s="4"/>
      <c r="D72" s="4"/>
      <c r="E72" s="4"/>
      <c r="F72" s="4" t="s">
        <v>727</v>
      </c>
      <c r="G72" s="20">
        <v>3484.4</v>
      </c>
    </row>
    <row r="73" spans="1:8" x14ac:dyDescent="0.25">
      <c r="A73" s="4" t="s">
        <v>29</v>
      </c>
      <c r="B73" s="4"/>
      <c r="C73" s="4" t="s">
        <v>173</v>
      </c>
      <c r="D73" s="4" t="s">
        <v>362</v>
      </c>
      <c r="E73" s="4" t="s">
        <v>596</v>
      </c>
      <c r="F73" s="4" t="s">
        <v>7</v>
      </c>
      <c r="G73" s="20">
        <v>1</v>
      </c>
      <c r="H73" s="31" t="s">
        <v>620</v>
      </c>
    </row>
    <row r="74" spans="1:8" x14ac:dyDescent="0.25">
      <c r="A74" s="4" t="s">
        <v>30</v>
      </c>
      <c r="B74" s="4"/>
      <c r="C74" s="4" t="s">
        <v>174</v>
      </c>
      <c r="D74" s="4" t="s">
        <v>364</v>
      </c>
      <c r="E74" s="4" t="s">
        <v>596</v>
      </c>
      <c r="F74" s="4" t="s">
        <v>7</v>
      </c>
      <c r="G74" s="20">
        <v>1</v>
      </c>
      <c r="H74" s="31" t="s">
        <v>620</v>
      </c>
    </row>
    <row r="75" spans="1:8" x14ac:dyDescent="0.25">
      <c r="A75" s="4" t="s">
        <v>31</v>
      </c>
      <c r="B75" s="4"/>
      <c r="C75" s="4" t="s">
        <v>172</v>
      </c>
      <c r="D75" s="4" t="s">
        <v>366</v>
      </c>
      <c r="E75" s="4" t="s">
        <v>595</v>
      </c>
      <c r="G75" s="20">
        <v>17701.259999999998</v>
      </c>
      <c r="H75" s="31" t="s">
        <v>620</v>
      </c>
    </row>
    <row r="76" spans="1:8" x14ac:dyDescent="0.25">
      <c r="F76" s="4" t="s">
        <v>728</v>
      </c>
      <c r="G76" s="20">
        <v>9446.4</v>
      </c>
    </row>
    <row r="77" spans="1:8" x14ac:dyDescent="0.25">
      <c r="A77" s="4"/>
      <c r="B77" s="4"/>
      <c r="C77" s="4"/>
      <c r="D77" s="4"/>
      <c r="E77" s="4"/>
      <c r="F77" s="4" t="s">
        <v>729</v>
      </c>
      <c r="G77" s="20">
        <v>1667.34</v>
      </c>
    </row>
    <row r="78" spans="1:8" x14ac:dyDescent="0.25">
      <c r="A78" s="4"/>
      <c r="B78" s="4"/>
      <c r="C78" s="4"/>
      <c r="D78" s="4"/>
      <c r="E78" s="4"/>
      <c r="F78" s="4" t="s">
        <v>730</v>
      </c>
      <c r="G78" s="20">
        <v>3637.32</v>
      </c>
    </row>
    <row r="79" spans="1:8" x14ac:dyDescent="0.25">
      <c r="A79" s="4"/>
      <c r="B79" s="4"/>
      <c r="C79" s="4"/>
      <c r="D79" s="4"/>
      <c r="E79" s="4"/>
      <c r="F79" s="4" t="s">
        <v>731</v>
      </c>
      <c r="G79" s="20">
        <v>2950.2</v>
      </c>
    </row>
    <row r="80" spans="1:8" x14ac:dyDescent="0.25">
      <c r="A80" s="4" t="s">
        <v>32</v>
      </c>
      <c r="B80" s="4"/>
      <c r="C80" s="4" t="s">
        <v>175</v>
      </c>
      <c r="D80" s="4" t="s">
        <v>369</v>
      </c>
      <c r="E80" s="4" t="s">
        <v>591</v>
      </c>
      <c r="F80" s="4" t="s">
        <v>732</v>
      </c>
      <c r="G80" s="20">
        <v>46.625</v>
      </c>
      <c r="H80" s="31" t="s">
        <v>620</v>
      </c>
    </row>
    <row r="81" spans="1:8" ht="38.4" customHeight="1" x14ac:dyDescent="0.25">
      <c r="C81" s="54" t="s">
        <v>151</v>
      </c>
      <c r="D81" s="141" t="s">
        <v>370</v>
      </c>
      <c r="E81" s="142"/>
      <c r="F81" s="142"/>
      <c r="G81" s="142"/>
    </row>
    <row r="82" spans="1:8" x14ac:dyDescent="0.25">
      <c r="A82" s="4" t="s">
        <v>33</v>
      </c>
      <c r="B82" s="4"/>
      <c r="C82" s="4" t="s">
        <v>176</v>
      </c>
      <c r="D82" s="4" t="s">
        <v>371</v>
      </c>
      <c r="E82" s="4" t="s">
        <v>591</v>
      </c>
      <c r="F82" s="4" t="s">
        <v>733</v>
      </c>
      <c r="G82" s="20">
        <v>37.299999999999997</v>
      </c>
      <c r="H82" s="31" t="s">
        <v>620</v>
      </c>
    </row>
    <row r="83" spans="1:8" ht="12.9" customHeight="1" x14ac:dyDescent="0.25">
      <c r="C83" s="54" t="s">
        <v>151</v>
      </c>
      <c r="D83" s="141" t="s">
        <v>372</v>
      </c>
      <c r="E83" s="142"/>
      <c r="F83" s="142"/>
      <c r="G83" s="142"/>
    </row>
    <row r="84" spans="1:8" x14ac:dyDescent="0.25">
      <c r="A84" s="4" t="s">
        <v>34</v>
      </c>
      <c r="B84" s="4"/>
      <c r="C84" s="4" t="s">
        <v>177</v>
      </c>
      <c r="D84" s="4" t="s">
        <v>373</v>
      </c>
      <c r="E84" s="4" t="s">
        <v>591</v>
      </c>
      <c r="F84" s="4" t="s">
        <v>733</v>
      </c>
      <c r="G84" s="20">
        <v>37.299999999999997</v>
      </c>
      <c r="H84" s="31" t="s">
        <v>620</v>
      </c>
    </row>
    <row r="85" spans="1:8" ht="12.9" customHeight="1" x14ac:dyDescent="0.25">
      <c r="C85" s="54" t="s">
        <v>151</v>
      </c>
      <c r="D85" s="141" t="s">
        <v>372</v>
      </c>
      <c r="E85" s="142"/>
      <c r="F85" s="142"/>
      <c r="G85" s="142"/>
    </row>
    <row r="86" spans="1:8" x14ac:dyDescent="0.25">
      <c r="A86" s="4" t="s">
        <v>35</v>
      </c>
      <c r="B86" s="4"/>
      <c r="C86" s="4" t="s">
        <v>178</v>
      </c>
      <c r="D86" s="4" t="s">
        <v>374</v>
      </c>
      <c r="E86" s="4" t="s">
        <v>592</v>
      </c>
      <c r="F86" s="4" t="s">
        <v>734</v>
      </c>
      <c r="G86" s="20">
        <v>4.2895000000000003</v>
      </c>
      <c r="H86" s="31" t="s">
        <v>620</v>
      </c>
    </row>
    <row r="87" spans="1:8" ht="25.65" customHeight="1" x14ac:dyDescent="0.25">
      <c r="C87" s="54" t="s">
        <v>151</v>
      </c>
      <c r="D87" s="141" t="s">
        <v>375</v>
      </c>
      <c r="E87" s="142"/>
      <c r="F87" s="142"/>
      <c r="G87" s="142"/>
    </row>
    <row r="88" spans="1:8" x14ac:dyDescent="0.25">
      <c r="A88" s="4" t="s">
        <v>36</v>
      </c>
      <c r="B88" s="4"/>
      <c r="C88" s="4" t="s">
        <v>179</v>
      </c>
      <c r="D88" s="4" t="s">
        <v>376</v>
      </c>
      <c r="E88" s="4" t="s">
        <v>593</v>
      </c>
      <c r="F88" s="4" t="s">
        <v>735</v>
      </c>
      <c r="G88" s="20">
        <v>8.4930000000000005E-2</v>
      </c>
      <c r="H88" s="31" t="s">
        <v>620</v>
      </c>
    </row>
    <row r="89" spans="1:8" ht="25.65" customHeight="1" x14ac:dyDescent="0.25">
      <c r="C89" s="54" t="s">
        <v>151</v>
      </c>
      <c r="D89" s="141" t="s">
        <v>378</v>
      </c>
      <c r="E89" s="142"/>
      <c r="F89" s="142"/>
      <c r="G89" s="142"/>
    </row>
    <row r="90" spans="1:8" x14ac:dyDescent="0.25">
      <c r="A90" s="4" t="s">
        <v>37</v>
      </c>
      <c r="B90" s="4"/>
      <c r="C90" s="4" t="s">
        <v>180</v>
      </c>
      <c r="D90" s="4" t="s">
        <v>379</v>
      </c>
      <c r="E90" s="4" t="s">
        <v>594</v>
      </c>
      <c r="F90" s="4" t="s">
        <v>736</v>
      </c>
      <c r="G90" s="20">
        <v>0.6</v>
      </c>
      <c r="H90" s="31" t="s">
        <v>620</v>
      </c>
    </row>
    <row r="91" spans="1:8" ht="25.65" customHeight="1" x14ac:dyDescent="0.25">
      <c r="C91" s="54" t="s">
        <v>151</v>
      </c>
      <c r="D91" s="141" t="s">
        <v>381</v>
      </c>
      <c r="E91" s="142"/>
      <c r="F91" s="142"/>
      <c r="G91" s="142"/>
    </row>
    <row r="92" spans="1:8" x14ac:dyDescent="0.25">
      <c r="A92" s="4" t="s">
        <v>38</v>
      </c>
      <c r="B92" s="4"/>
      <c r="C92" s="4" t="s">
        <v>181</v>
      </c>
      <c r="D92" s="4" t="s">
        <v>383</v>
      </c>
      <c r="E92" s="4" t="s">
        <v>591</v>
      </c>
      <c r="F92" s="4" t="s">
        <v>737</v>
      </c>
      <c r="G92" s="20">
        <v>118.4</v>
      </c>
      <c r="H92" s="31" t="s">
        <v>620</v>
      </c>
    </row>
    <row r="93" spans="1:8" ht="12.9" customHeight="1" x14ac:dyDescent="0.25">
      <c r="C93" s="54" t="s">
        <v>151</v>
      </c>
      <c r="D93" s="141" t="s">
        <v>385</v>
      </c>
      <c r="E93" s="142"/>
      <c r="F93" s="142"/>
      <c r="G93" s="142"/>
    </row>
    <row r="94" spans="1:8" x14ac:dyDescent="0.25">
      <c r="A94" s="6" t="s">
        <v>39</v>
      </c>
      <c r="B94" s="6"/>
      <c r="C94" s="6" t="s">
        <v>182</v>
      </c>
      <c r="D94" s="6" t="s">
        <v>386</v>
      </c>
      <c r="E94" s="6" t="s">
        <v>591</v>
      </c>
      <c r="G94" s="21">
        <v>120.768</v>
      </c>
      <c r="H94" s="32" t="s">
        <v>620</v>
      </c>
    </row>
    <row r="95" spans="1:8" x14ac:dyDescent="0.25">
      <c r="F95" s="6" t="s">
        <v>738</v>
      </c>
      <c r="G95" s="21">
        <v>118.4</v>
      </c>
    </row>
    <row r="96" spans="1:8" x14ac:dyDescent="0.25">
      <c r="A96" s="6"/>
      <c r="B96" s="6"/>
      <c r="C96" s="6"/>
      <c r="D96" s="6"/>
      <c r="E96" s="6"/>
      <c r="F96" s="6" t="s">
        <v>739</v>
      </c>
      <c r="G96" s="21">
        <v>2.3679999999999999</v>
      </c>
    </row>
    <row r="97" spans="1:8" ht="51.45" customHeight="1" x14ac:dyDescent="0.25">
      <c r="C97" s="54" t="s">
        <v>151</v>
      </c>
      <c r="D97" s="141" t="s">
        <v>387</v>
      </c>
      <c r="E97" s="142"/>
      <c r="F97" s="142"/>
      <c r="G97" s="142"/>
    </row>
    <row r="98" spans="1:8" x14ac:dyDescent="0.25">
      <c r="A98" s="4" t="s">
        <v>40</v>
      </c>
      <c r="B98" s="4"/>
      <c r="C98" s="4" t="s">
        <v>183</v>
      </c>
      <c r="D98" s="4" t="s">
        <v>389</v>
      </c>
      <c r="E98" s="4" t="s">
        <v>591</v>
      </c>
      <c r="F98" s="4" t="s">
        <v>740</v>
      </c>
      <c r="G98" s="20">
        <v>28.5</v>
      </c>
      <c r="H98" s="31" t="s">
        <v>620</v>
      </c>
    </row>
    <row r="99" spans="1:8" x14ac:dyDescent="0.25">
      <c r="A99" s="4" t="s">
        <v>41</v>
      </c>
      <c r="B99" s="4"/>
      <c r="C99" s="4" t="s">
        <v>184</v>
      </c>
      <c r="D99" s="4" t="s">
        <v>391</v>
      </c>
      <c r="E99" s="4" t="s">
        <v>591</v>
      </c>
      <c r="F99" s="4" t="s">
        <v>740</v>
      </c>
      <c r="G99" s="20">
        <v>28.5</v>
      </c>
      <c r="H99" s="31" t="s">
        <v>620</v>
      </c>
    </row>
    <row r="100" spans="1:8" x14ac:dyDescent="0.25">
      <c r="A100" s="4" t="s">
        <v>42</v>
      </c>
      <c r="B100" s="4"/>
      <c r="C100" s="4" t="s">
        <v>185</v>
      </c>
      <c r="D100" s="4" t="s">
        <v>392</v>
      </c>
      <c r="E100" s="4" t="s">
        <v>591</v>
      </c>
      <c r="F100" s="4" t="s">
        <v>741</v>
      </c>
      <c r="G100" s="20">
        <v>85.5</v>
      </c>
      <c r="H100" s="31" t="s">
        <v>620</v>
      </c>
    </row>
    <row r="101" spans="1:8" x14ac:dyDescent="0.25">
      <c r="A101" s="4" t="s">
        <v>43</v>
      </c>
      <c r="B101" s="4"/>
      <c r="C101" s="4" t="s">
        <v>186</v>
      </c>
      <c r="D101" s="4" t="s">
        <v>393</v>
      </c>
      <c r="E101" s="4" t="s">
        <v>591</v>
      </c>
      <c r="F101" s="4" t="s">
        <v>740</v>
      </c>
      <c r="G101" s="20">
        <v>28.5</v>
      </c>
      <c r="H101" s="31" t="s">
        <v>620</v>
      </c>
    </row>
    <row r="102" spans="1:8" x14ac:dyDescent="0.25">
      <c r="A102" s="4" t="s">
        <v>44</v>
      </c>
      <c r="B102" s="4"/>
      <c r="C102" s="4" t="s">
        <v>187</v>
      </c>
      <c r="D102" s="4" t="s">
        <v>394</v>
      </c>
      <c r="E102" s="4" t="s">
        <v>591</v>
      </c>
      <c r="F102" s="4" t="s">
        <v>740</v>
      </c>
      <c r="G102" s="20">
        <v>28.5</v>
      </c>
      <c r="H102" s="31" t="s">
        <v>620</v>
      </c>
    </row>
    <row r="103" spans="1:8" x14ac:dyDescent="0.25">
      <c r="A103" s="4" t="s">
        <v>45</v>
      </c>
      <c r="B103" s="4"/>
      <c r="C103" s="4" t="s">
        <v>188</v>
      </c>
      <c r="D103" s="4" t="s">
        <v>395</v>
      </c>
      <c r="E103" s="4" t="s">
        <v>591</v>
      </c>
      <c r="F103" s="4" t="s">
        <v>740</v>
      </c>
      <c r="G103" s="20">
        <v>28.5</v>
      </c>
      <c r="H103" s="31" t="s">
        <v>620</v>
      </c>
    </row>
    <row r="104" spans="1:8" x14ac:dyDescent="0.25">
      <c r="A104" s="4" t="s">
        <v>46</v>
      </c>
      <c r="B104" s="4"/>
      <c r="C104" s="4" t="s">
        <v>189</v>
      </c>
      <c r="D104" s="4" t="s">
        <v>397</v>
      </c>
      <c r="E104" s="4" t="s">
        <v>597</v>
      </c>
      <c r="F104" s="4" t="s">
        <v>742</v>
      </c>
      <c r="G104" s="20">
        <v>35</v>
      </c>
      <c r="H104" s="31" t="s">
        <v>620</v>
      </c>
    </row>
    <row r="105" spans="1:8" ht="25.65" customHeight="1" x14ac:dyDescent="0.25">
      <c r="C105" s="54" t="s">
        <v>151</v>
      </c>
      <c r="D105" s="141" t="s">
        <v>399</v>
      </c>
      <c r="E105" s="142"/>
      <c r="F105" s="142"/>
      <c r="G105" s="142"/>
    </row>
    <row r="106" spans="1:8" x14ac:dyDescent="0.25">
      <c r="A106" s="6" t="s">
        <v>47</v>
      </c>
      <c r="B106" s="6"/>
      <c r="C106" s="6" t="s">
        <v>190</v>
      </c>
      <c r="D106" s="6" t="s">
        <v>400</v>
      </c>
      <c r="E106" s="6" t="s">
        <v>597</v>
      </c>
      <c r="F106" s="6" t="s">
        <v>742</v>
      </c>
      <c r="G106" s="21">
        <v>35</v>
      </c>
      <c r="H106" s="32" t="s">
        <v>620</v>
      </c>
    </row>
    <row r="107" spans="1:8" ht="38.4" customHeight="1" x14ac:dyDescent="0.25">
      <c r="C107" s="54" t="s">
        <v>151</v>
      </c>
      <c r="D107" s="141" t="s">
        <v>401</v>
      </c>
      <c r="E107" s="142"/>
      <c r="F107" s="142"/>
      <c r="G107" s="142"/>
    </row>
    <row r="108" spans="1:8" x14ac:dyDescent="0.25">
      <c r="A108" s="4" t="s">
        <v>48</v>
      </c>
      <c r="B108" s="4"/>
      <c r="C108" s="4" t="s">
        <v>191</v>
      </c>
      <c r="D108" s="4" t="s">
        <v>403</v>
      </c>
      <c r="E108" s="4" t="s">
        <v>591</v>
      </c>
      <c r="G108" s="20">
        <v>125.251</v>
      </c>
      <c r="H108" s="31" t="s">
        <v>620</v>
      </c>
    </row>
    <row r="109" spans="1:8" x14ac:dyDescent="0.25">
      <c r="F109" s="4" t="s">
        <v>743</v>
      </c>
      <c r="G109" s="20">
        <v>103.32</v>
      </c>
    </row>
    <row r="110" spans="1:8" x14ac:dyDescent="0.25">
      <c r="A110" s="4"/>
      <c r="B110" s="4"/>
      <c r="C110" s="4"/>
      <c r="D110" s="4"/>
      <c r="E110" s="4"/>
      <c r="F110" s="4" t="s">
        <v>744</v>
      </c>
      <c r="G110" s="20">
        <v>0</v>
      </c>
    </row>
    <row r="111" spans="1:8" x14ac:dyDescent="0.25">
      <c r="A111" s="4"/>
      <c r="B111" s="4"/>
      <c r="C111" s="4"/>
      <c r="D111" s="4"/>
      <c r="E111" s="4"/>
      <c r="F111" s="4" t="s">
        <v>745</v>
      </c>
      <c r="G111" s="20">
        <v>5.9589999999999996</v>
      </c>
    </row>
    <row r="112" spans="1:8" x14ac:dyDescent="0.25">
      <c r="A112" s="4"/>
      <c r="B112" s="4"/>
      <c r="C112" s="4"/>
      <c r="D112" s="4"/>
      <c r="E112" s="4"/>
      <c r="F112" s="4" t="s">
        <v>746</v>
      </c>
      <c r="G112" s="20">
        <v>15.972</v>
      </c>
    </row>
    <row r="113" spans="1:8" ht="12.9" customHeight="1" x14ac:dyDescent="0.25">
      <c r="C113" s="54" t="s">
        <v>151</v>
      </c>
      <c r="D113" s="141" t="s">
        <v>404</v>
      </c>
      <c r="E113" s="142"/>
      <c r="F113" s="142"/>
      <c r="G113" s="142"/>
    </row>
    <row r="114" spans="1:8" x14ac:dyDescent="0.25">
      <c r="A114" s="4" t="s">
        <v>49</v>
      </c>
      <c r="B114" s="4"/>
      <c r="C114" s="4" t="s">
        <v>192</v>
      </c>
      <c r="D114" s="4" t="s">
        <v>405</v>
      </c>
      <c r="E114" s="4" t="s">
        <v>591</v>
      </c>
      <c r="F114" s="4" t="s">
        <v>747</v>
      </c>
      <c r="G114" s="20">
        <v>37.299999999999997</v>
      </c>
      <c r="H114" s="31" t="s">
        <v>620</v>
      </c>
    </row>
    <row r="115" spans="1:8" ht="12.9" customHeight="1" x14ac:dyDescent="0.25">
      <c r="C115" s="54" t="s">
        <v>151</v>
      </c>
      <c r="D115" s="141" t="s">
        <v>338</v>
      </c>
      <c r="E115" s="142"/>
      <c r="F115" s="142"/>
      <c r="G115" s="142"/>
    </row>
    <row r="116" spans="1:8" x14ac:dyDescent="0.25">
      <c r="A116" s="4" t="s">
        <v>50</v>
      </c>
      <c r="B116" s="4"/>
      <c r="C116" s="4" t="s">
        <v>193</v>
      </c>
      <c r="D116" s="4" t="s">
        <v>406</v>
      </c>
      <c r="E116" s="4" t="s">
        <v>591</v>
      </c>
      <c r="F116" s="4" t="s">
        <v>748</v>
      </c>
      <c r="G116" s="20">
        <v>37.299999999999997</v>
      </c>
      <c r="H116" s="31" t="s">
        <v>620</v>
      </c>
    </row>
    <row r="117" spans="1:8" ht="12.9" customHeight="1" x14ac:dyDescent="0.25">
      <c r="C117" s="54" t="s">
        <v>151</v>
      </c>
      <c r="D117" s="141" t="s">
        <v>408</v>
      </c>
      <c r="E117" s="142"/>
      <c r="F117" s="142"/>
      <c r="G117" s="142"/>
    </row>
    <row r="118" spans="1:8" x14ac:dyDescent="0.25">
      <c r="A118" s="4" t="s">
        <v>51</v>
      </c>
      <c r="B118" s="4"/>
      <c r="C118" s="4" t="s">
        <v>194</v>
      </c>
      <c r="D118" s="4" t="s">
        <v>409</v>
      </c>
      <c r="E118" s="4" t="s">
        <v>594</v>
      </c>
      <c r="F118" s="4" t="s">
        <v>749</v>
      </c>
      <c r="G118" s="20">
        <v>350</v>
      </c>
      <c r="H118" s="31" t="s">
        <v>621</v>
      </c>
    </row>
    <row r="119" spans="1:8" x14ac:dyDescent="0.25">
      <c r="A119" s="4" t="s">
        <v>52</v>
      </c>
      <c r="B119" s="4"/>
      <c r="C119" s="4" t="s">
        <v>195</v>
      </c>
      <c r="D119" s="4" t="s">
        <v>412</v>
      </c>
      <c r="E119" s="4" t="s">
        <v>592</v>
      </c>
      <c r="F119" s="4" t="s">
        <v>750</v>
      </c>
      <c r="G119" s="20">
        <v>24.2925</v>
      </c>
      <c r="H119" s="31" t="s">
        <v>620</v>
      </c>
    </row>
    <row r="120" spans="1:8" ht="51.45" customHeight="1" x14ac:dyDescent="0.25">
      <c r="C120" s="54" t="s">
        <v>151</v>
      </c>
      <c r="D120" s="141" t="s">
        <v>413</v>
      </c>
      <c r="E120" s="142"/>
      <c r="F120" s="142"/>
      <c r="G120" s="142"/>
    </row>
    <row r="121" spans="1:8" x14ac:dyDescent="0.25">
      <c r="A121" s="4" t="s">
        <v>53</v>
      </c>
      <c r="B121" s="4"/>
      <c r="C121" s="4" t="s">
        <v>196</v>
      </c>
      <c r="D121" s="4" t="s">
        <v>414</v>
      </c>
      <c r="E121" s="4" t="s">
        <v>591</v>
      </c>
      <c r="G121" s="20">
        <v>243.17</v>
      </c>
      <c r="H121" s="31" t="s">
        <v>620</v>
      </c>
    </row>
    <row r="122" spans="1:8" x14ac:dyDescent="0.25">
      <c r="F122" s="4" t="s">
        <v>751</v>
      </c>
      <c r="G122" s="20">
        <v>155.16999999999999</v>
      </c>
    </row>
    <row r="123" spans="1:8" x14ac:dyDescent="0.25">
      <c r="A123" s="4"/>
      <c r="B123" s="4"/>
      <c r="C123" s="4"/>
      <c r="D123" s="4"/>
      <c r="E123" s="4"/>
      <c r="F123" s="4" t="s">
        <v>752</v>
      </c>
      <c r="G123" s="20">
        <v>68</v>
      </c>
    </row>
    <row r="124" spans="1:8" x14ac:dyDescent="0.25">
      <c r="A124" s="4"/>
      <c r="B124" s="4"/>
      <c r="C124" s="4"/>
      <c r="D124" s="4"/>
      <c r="E124" s="4"/>
      <c r="F124" s="4" t="s">
        <v>753</v>
      </c>
      <c r="G124" s="20">
        <v>20</v>
      </c>
    </row>
    <row r="125" spans="1:8" x14ac:dyDescent="0.25">
      <c r="A125" s="4" t="s">
        <v>54</v>
      </c>
      <c r="B125" s="4"/>
      <c r="C125" s="4" t="s">
        <v>197</v>
      </c>
      <c r="D125" s="4" t="s">
        <v>416</v>
      </c>
      <c r="E125" s="4" t="s">
        <v>597</v>
      </c>
      <c r="F125" s="4" t="s">
        <v>754</v>
      </c>
      <c r="G125" s="20">
        <v>2</v>
      </c>
      <c r="H125" s="31" t="s">
        <v>620</v>
      </c>
    </row>
    <row r="126" spans="1:8" ht="64.2" customHeight="1" x14ac:dyDescent="0.25">
      <c r="C126" s="54" t="s">
        <v>151</v>
      </c>
      <c r="D126" s="141" t="s">
        <v>693</v>
      </c>
      <c r="E126" s="142"/>
      <c r="F126" s="142"/>
      <c r="G126" s="142"/>
    </row>
    <row r="127" spans="1:8" x14ac:dyDescent="0.25">
      <c r="D127" s="141" t="s">
        <v>694</v>
      </c>
      <c r="E127" s="142"/>
      <c r="F127" s="142"/>
      <c r="G127" s="142"/>
    </row>
    <row r="128" spans="1:8" x14ac:dyDescent="0.25">
      <c r="A128" s="4" t="s">
        <v>55</v>
      </c>
      <c r="B128" s="4"/>
      <c r="C128" s="4" t="s">
        <v>198</v>
      </c>
      <c r="D128" s="4" t="s">
        <v>419</v>
      </c>
      <c r="E128" s="4" t="s">
        <v>597</v>
      </c>
      <c r="G128" s="20">
        <v>3</v>
      </c>
      <c r="H128" s="31" t="s">
        <v>620</v>
      </c>
    </row>
    <row r="129" spans="1:8" x14ac:dyDescent="0.25">
      <c r="F129" s="4" t="s">
        <v>755</v>
      </c>
      <c r="G129" s="20">
        <v>2</v>
      </c>
    </row>
    <row r="130" spans="1:8" x14ac:dyDescent="0.25">
      <c r="A130" s="4"/>
      <c r="B130" s="4"/>
      <c r="C130" s="4"/>
      <c r="D130" s="4"/>
      <c r="E130" s="4"/>
      <c r="F130" s="4" t="s">
        <v>756</v>
      </c>
      <c r="G130" s="20">
        <v>1</v>
      </c>
    </row>
    <row r="131" spans="1:8" ht="64.2" customHeight="1" x14ac:dyDescent="0.25">
      <c r="C131" s="54" t="s">
        <v>151</v>
      </c>
      <c r="D131" s="141" t="s">
        <v>693</v>
      </c>
      <c r="E131" s="142"/>
      <c r="F131" s="142"/>
      <c r="G131" s="142"/>
    </row>
    <row r="132" spans="1:8" x14ac:dyDescent="0.25">
      <c r="D132" s="141" t="s">
        <v>694</v>
      </c>
      <c r="E132" s="142"/>
      <c r="F132" s="142"/>
      <c r="G132" s="142"/>
    </row>
    <row r="133" spans="1:8" x14ac:dyDescent="0.25">
      <c r="A133" s="4" t="s">
        <v>56</v>
      </c>
      <c r="B133" s="4"/>
      <c r="C133" s="4" t="s">
        <v>199</v>
      </c>
      <c r="D133" s="4" t="s">
        <v>420</v>
      </c>
      <c r="E133" s="4" t="s">
        <v>597</v>
      </c>
      <c r="F133" s="4" t="s">
        <v>11</v>
      </c>
      <c r="G133" s="20">
        <v>5</v>
      </c>
      <c r="H133" s="31" t="s">
        <v>622</v>
      </c>
    </row>
    <row r="134" spans="1:8" x14ac:dyDescent="0.25">
      <c r="A134" s="4" t="s">
        <v>57</v>
      </c>
      <c r="B134" s="4"/>
      <c r="C134" s="4" t="s">
        <v>201</v>
      </c>
      <c r="D134" s="4" t="s">
        <v>423</v>
      </c>
      <c r="E134" s="4" t="s">
        <v>591</v>
      </c>
      <c r="F134" s="4" t="s">
        <v>757</v>
      </c>
      <c r="G134" s="20">
        <v>65.5</v>
      </c>
      <c r="H134" s="31" t="s">
        <v>620</v>
      </c>
    </row>
    <row r="135" spans="1:8" x14ac:dyDescent="0.25">
      <c r="A135" s="4" t="s">
        <v>58</v>
      </c>
      <c r="B135" s="4"/>
      <c r="C135" s="4" t="s">
        <v>202</v>
      </c>
      <c r="D135" s="4" t="s">
        <v>424</v>
      </c>
      <c r="E135" s="4" t="s">
        <v>591</v>
      </c>
      <c r="F135" s="4" t="s">
        <v>758</v>
      </c>
      <c r="G135" s="20">
        <v>18</v>
      </c>
      <c r="H135" s="31" t="s">
        <v>620</v>
      </c>
    </row>
    <row r="136" spans="1:8" x14ac:dyDescent="0.25">
      <c r="A136" s="6" t="s">
        <v>59</v>
      </c>
      <c r="B136" s="6"/>
      <c r="C136" s="6" t="s">
        <v>203</v>
      </c>
      <c r="D136" s="6" t="s">
        <v>426</v>
      </c>
      <c r="E136" s="6" t="s">
        <v>591</v>
      </c>
      <c r="G136" s="21">
        <v>18.36</v>
      </c>
      <c r="H136" s="32" t="s">
        <v>620</v>
      </c>
    </row>
    <row r="137" spans="1:8" x14ac:dyDescent="0.25">
      <c r="F137" s="6" t="s">
        <v>759</v>
      </c>
      <c r="G137" s="21">
        <v>18</v>
      </c>
    </row>
    <row r="138" spans="1:8" x14ac:dyDescent="0.25">
      <c r="A138" s="6"/>
      <c r="B138" s="6"/>
      <c r="C138" s="6"/>
      <c r="D138" s="6"/>
      <c r="E138" s="6"/>
      <c r="F138" s="6" t="s">
        <v>760</v>
      </c>
      <c r="G138" s="21">
        <v>0.36</v>
      </c>
    </row>
    <row r="139" spans="1:8" ht="51.45" customHeight="1" x14ac:dyDescent="0.25">
      <c r="C139" s="54" t="s">
        <v>151</v>
      </c>
      <c r="D139" s="141" t="s">
        <v>427</v>
      </c>
      <c r="E139" s="142"/>
      <c r="F139" s="142"/>
      <c r="G139" s="142"/>
    </row>
    <row r="140" spans="1:8" x14ac:dyDescent="0.25">
      <c r="A140" s="4" t="s">
        <v>60</v>
      </c>
      <c r="B140" s="4"/>
      <c r="C140" s="4" t="s">
        <v>205</v>
      </c>
      <c r="D140" s="4" t="s">
        <v>429</v>
      </c>
      <c r="E140" s="4" t="s">
        <v>591</v>
      </c>
      <c r="F140" s="4" t="s">
        <v>733</v>
      </c>
      <c r="G140" s="20">
        <v>37.299999999999997</v>
      </c>
      <c r="H140" s="31" t="s">
        <v>620</v>
      </c>
    </row>
    <row r="141" spans="1:8" ht="25.65" customHeight="1" x14ac:dyDescent="0.25">
      <c r="C141" s="54" t="s">
        <v>151</v>
      </c>
      <c r="D141" s="141" t="s">
        <v>430</v>
      </c>
      <c r="E141" s="142"/>
      <c r="F141" s="142"/>
      <c r="G141" s="142"/>
    </row>
    <row r="142" spans="1:8" x14ac:dyDescent="0.25">
      <c r="A142" s="6" t="s">
        <v>61</v>
      </c>
      <c r="B142" s="6"/>
      <c r="C142" s="6" t="s">
        <v>206</v>
      </c>
      <c r="D142" s="6" t="s">
        <v>431</v>
      </c>
      <c r="E142" s="6" t="s">
        <v>591</v>
      </c>
      <c r="G142" s="21">
        <v>39.164999999999999</v>
      </c>
      <c r="H142" s="32" t="s">
        <v>620</v>
      </c>
    </row>
    <row r="143" spans="1:8" x14ac:dyDescent="0.25">
      <c r="F143" s="6" t="s">
        <v>733</v>
      </c>
      <c r="G143" s="21">
        <v>37.299999999999997</v>
      </c>
    </row>
    <row r="144" spans="1:8" x14ac:dyDescent="0.25">
      <c r="A144" s="6"/>
      <c r="B144" s="6"/>
      <c r="C144" s="6"/>
      <c r="D144" s="6"/>
      <c r="E144" s="6"/>
      <c r="F144" s="6" t="s">
        <v>761</v>
      </c>
      <c r="G144" s="21">
        <v>1.865</v>
      </c>
    </row>
    <row r="145" spans="1:8" ht="38.4" customHeight="1" x14ac:dyDescent="0.25">
      <c r="C145" s="54" t="s">
        <v>151</v>
      </c>
      <c r="D145" s="141" t="s">
        <v>432</v>
      </c>
      <c r="E145" s="142"/>
      <c r="F145" s="142"/>
      <c r="G145" s="142"/>
    </row>
    <row r="146" spans="1:8" x14ac:dyDescent="0.25">
      <c r="A146" s="4" t="s">
        <v>62</v>
      </c>
      <c r="B146" s="4"/>
      <c r="C146" s="4" t="s">
        <v>208</v>
      </c>
      <c r="D146" s="4" t="s">
        <v>434</v>
      </c>
      <c r="E146" s="4" t="s">
        <v>591</v>
      </c>
      <c r="F146" s="4" t="s">
        <v>762</v>
      </c>
      <c r="G146" s="20">
        <v>62.26</v>
      </c>
      <c r="H146" s="31" t="s">
        <v>620</v>
      </c>
    </row>
    <row r="147" spans="1:8" ht="12.9" customHeight="1" x14ac:dyDescent="0.25">
      <c r="C147" s="54" t="s">
        <v>151</v>
      </c>
      <c r="D147" s="141" t="s">
        <v>435</v>
      </c>
      <c r="E147" s="142"/>
      <c r="F147" s="142"/>
      <c r="G147" s="142"/>
    </row>
    <row r="148" spans="1:8" x14ac:dyDescent="0.25">
      <c r="A148" s="6" t="s">
        <v>63</v>
      </c>
      <c r="B148" s="6"/>
      <c r="C148" s="6" t="s">
        <v>209</v>
      </c>
      <c r="D148" s="6" t="s">
        <v>436</v>
      </c>
      <c r="E148" s="6" t="s">
        <v>597</v>
      </c>
      <c r="G148" s="21">
        <v>63.505200000000002</v>
      </c>
      <c r="H148" s="32" t="s">
        <v>620</v>
      </c>
    </row>
    <row r="149" spans="1:8" x14ac:dyDescent="0.25">
      <c r="F149" s="6" t="s">
        <v>762</v>
      </c>
      <c r="G149" s="21">
        <v>62.26</v>
      </c>
    </row>
    <row r="150" spans="1:8" x14ac:dyDescent="0.25">
      <c r="A150" s="6"/>
      <c r="B150" s="6"/>
      <c r="C150" s="6"/>
      <c r="D150" s="6"/>
      <c r="E150" s="6"/>
      <c r="F150" s="6" t="s">
        <v>763</v>
      </c>
      <c r="G150" s="21">
        <v>1.2452000000000001</v>
      </c>
    </row>
    <row r="151" spans="1:8" ht="38.4" customHeight="1" x14ac:dyDescent="0.25">
      <c r="C151" s="54" t="s">
        <v>151</v>
      </c>
      <c r="D151" s="141" t="s">
        <v>437</v>
      </c>
      <c r="E151" s="142"/>
      <c r="F151" s="142"/>
      <c r="G151" s="142"/>
    </row>
    <row r="152" spans="1:8" x14ac:dyDescent="0.25">
      <c r="A152" s="4" t="s">
        <v>64</v>
      </c>
      <c r="B152" s="4"/>
      <c r="C152" s="4" t="s">
        <v>210</v>
      </c>
      <c r="D152" s="4" t="s">
        <v>438</v>
      </c>
      <c r="E152" s="4" t="s">
        <v>597</v>
      </c>
      <c r="F152" s="4" t="s">
        <v>764</v>
      </c>
      <c r="G152" s="20">
        <v>4</v>
      </c>
      <c r="H152" s="31" t="s">
        <v>620</v>
      </c>
    </row>
    <row r="153" spans="1:8" ht="25.65" customHeight="1" x14ac:dyDescent="0.25">
      <c r="C153" s="54" t="s">
        <v>151</v>
      </c>
      <c r="D153" s="141" t="s">
        <v>439</v>
      </c>
      <c r="E153" s="142"/>
      <c r="F153" s="142"/>
      <c r="G153" s="142"/>
    </row>
    <row r="154" spans="1:8" x14ac:dyDescent="0.25">
      <c r="A154" s="4" t="s">
        <v>65</v>
      </c>
      <c r="B154" s="4"/>
      <c r="C154" s="4" t="s">
        <v>212</v>
      </c>
      <c r="D154" s="4" t="s">
        <v>441</v>
      </c>
      <c r="E154" s="4" t="s">
        <v>594</v>
      </c>
      <c r="G154" s="20">
        <v>3.5</v>
      </c>
      <c r="H154" s="31" t="s">
        <v>620</v>
      </c>
    </row>
    <row r="155" spans="1:8" x14ac:dyDescent="0.25">
      <c r="F155" s="4" t="s">
        <v>765</v>
      </c>
      <c r="G155" s="20">
        <v>2</v>
      </c>
    </row>
    <row r="156" spans="1:8" x14ac:dyDescent="0.25">
      <c r="A156" s="4"/>
      <c r="B156" s="4"/>
      <c r="C156" s="4"/>
      <c r="D156" s="4"/>
      <c r="E156" s="4"/>
      <c r="F156" s="4" t="s">
        <v>766</v>
      </c>
      <c r="G156" s="20">
        <v>1.5</v>
      </c>
    </row>
    <row r="157" spans="1:8" x14ac:dyDescent="0.25">
      <c r="A157" s="4" t="s">
        <v>66</v>
      </c>
      <c r="B157" s="4"/>
      <c r="C157" s="4" t="s">
        <v>213</v>
      </c>
      <c r="D157" s="4" t="s">
        <v>442</v>
      </c>
      <c r="E157" s="4" t="s">
        <v>594</v>
      </c>
      <c r="G157" s="20">
        <v>4</v>
      </c>
      <c r="H157" s="31" t="s">
        <v>620</v>
      </c>
    </row>
    <row r="158" spans="1:8" x14ac:dyDescent="0.25">
      <c r="F158" s="4" t="s">
        <v>765</v>
      </c>
      <c r="G158" s="20">
        <v>2</v>
      </c>
    </row>
    <row r="159" spans="1:8" x14ac:dyDescent="0.25">
      <c r="A159" s="4"/>
      <c r="B159" s="4"/>
      <c r="C159" s="4"/>
      <c r="D159" s="4"/>
      <c r="E159" s="4"/>
      <c r="F159" s="4" t="s">
        <v>767</v>
      </c>
      <c r="G159" s="20">
        <v>2</v>
      </c>
    </row>
    <row r="160" spans="1:8" x14ac:dyDescent="0.25">
      <c r="A160" s="4" t="s">
        <v>67</v>
      </c>
      <c r="B160" s="4"/>
      <c r="C160" s="4" t="s">
        <v>214</v>
      </c>
      <c r="D160" s="4" t="s">
        <v>443</v>
      </c>
      <c r="E160" s="4" t="s">
        <v>594</v>
      </c>
      <c r="F160" s="4" t="s">
        <v>13</v>
      </c>
      <c r="G160" s="20">
        <v>7</v>
      </c>
      <c r="H160" s="31" t="s">
        <v>620</v>
      </c>
    </row>
    <row r="161" spans="1:8" x14ac:dyDescent="0.25">
      <c r="A161" s="4" t="s">
        <v>68</v>
      </c>
      <c r="B161" s="4"/>
      <c r="C161" s="4" t="s">
        <v>215</v>
      </c>
      <c r="D161" s="4" t="s">
        <v>444</v>
      </c>
      <c r="E161" s="4" t="s">
        <v>594</v>
      </c>
      <c r="F161" s="4" t="s">
        <v>768</v>
      </c>
      <c r="G161" s="20">
        <v>35</v>
      </c>
      <c r="H161" s="31" t="s">
        <v>620</v>
      </c>
    </row>
    <row r="162" spans="1:8" x14ac:dyDescent="0.25">
      <c r="A162" s="4" t="s">
        <v>69</v>
      </c>
      <c r="B162" s="4"/>
      <c r="C162" s="4" t="s">
        <v>216</v>
      </c>
      <c r="D162" s="4" t="s">
        <v>445</v>
      </c>
      <c r="E162" s="4" t="s">
        <v>594</v>
      </c>
      <c r="F162" s="4" t="s">
        <v>769</v>
      </c>
      <c r="G162" s="20">
        <v>38</v>
      </c>
      <c r="H162" s="31" t="s">
        <v>620</v>
      </c>
    </row>
    <row r="163" spans="1:8" x14ac:dyDescent="0.25">
      <c r="A163" s="4" t="s">
        <v>70</v>
      </c>
      <c r="B163" s="4"/>
      <c r="C163" s="4" t="s">
        <v>217</v>
      </c>
      <c r="D163" s="4" t="s">
        <v>446</v>
      </c>
      <c r="E163" s="4" t="s">
        <v>594</v>
      </c>
      <c r="F163" s="4" t="s">
        <v>770</v>
      </c>
      <c r="G163" s="20">
        <v>10</v>
      </c>
      <c r="H163" s="31" t="s">
        <v>620</v>
      </c>
    </row>
    <row r="164" spans="1:8" x14ac:dyDescent="0.25">
      <c r="A164" s="4" t="s">
        <v>71</v>
      </c>
      <c r="B164" s="4"/>
      <c r="C164" s="4" t="s">
        <v>218</v>
      </c>
      <c r="D164" s="4" t="s">
        <v>447</v>
      </c>
      <c r="E164" s="4" t="s">
        <v>594</v>
      </c>
      <c r="F164" s="4" t="s">
        <v>18</v>
      </c>
      <c r="G164" s="20">
        <v>12</v>
      </c>
      <c r="H164" s="31" t="s">
        <v>620</v>
      </c>
    </row>
    <row r="165" spans="1:8" x14ac:dyDescent="0.25">
      <c r="A165" s="4" t="s">
        <v>72</v>
      </c>
      <c r="B165" s="4"/>
      <c r="C165" s="4" t="s">
        <v>219</v>
      </c>
      <c r="D165" s="4" t="s">
        <v>448</v>
      </c>
      <c r="E165" s="4" t="s">
        <v>597</v>
      </c>
      <c r="F165" s="4" t="s">
        <v>771</v>
      </c>
      <c r="G165" s="20">
        <v>4</v>
      </c>
      <c r="H165" s="31" t="s">
        <v>620</v>
      </c>
    </row>
    <row r="166" spans="1:8" x14ac:dyDescent="0.25">
      <c r="A166" s="4" t="s">
        <v>73</v>
      </c>
      <c r="B166" s="4"/>
      <c r="C166" s="4" t="s">
        <v>220</v>
      </c>
      <c r="D166" s="4" t="s">
        <v>449</v>
      </c>
      <c r="E166" s="4" t="s">
        <v>597</v>
      </c>
      <c r="F166" s="4" t="s">
        <v>772</v>
      </c>
      <c r="G166" s="20">
        <v>2</v>
      </c>
      <c r="H166" s="31" t="s">
        <v>620</v>
      </c>
    </row>
    <row r="167" spans="1:8" x14ac:dyDescent="0.25">
      <c r="A167" s="4" t="s">
        <v>74</v>
      </c>
      <c r="B167" s="4"/>
      <c r="C167" s="4" t="s">
        <v>221</v>
      </c>
      <c r="D167" s="4" t="s">
        <v>450</v>
      </c>
      <c r="E167" s="4" t="s">
        <v>594</v>
      </c>
      <c r="G167" s="20">
        <v>109.5</v>
      </c>
      <c r="H167" s="31" t="s">
        <v>620</v>
      </c>
    </row>
    <row r="168" spans="1:8" x14ac:dyDescent="0.25">
      <c r="F168" s="4" t="s">
        <v>773</v>
      </c>
      <c r="G168" s="20">
        <v>39</v>
      </c>
    </row>
    <row r="169" spans="1:8" x14ac:dyDescent="0.25">
      <c r="A169" s="4"/>
      <c r="B169" s="4"/>
      <c r="C169" s="4"/>
      <c r="D169" s="4"/>
      <c r="E169" s="4"/>
      <c r="F169" s="4" t="s">
        <v>774</v>
      </c>
      <c r="G169" s="20">
        <v>70.5</v>
      </c>
    </row>
    <row r="170" spans="1:8" x14ac:dyDescent="0.25">
      <c r="A170" s="4" t="s">
        <v>75</v>
      </c>
      <c r="B170" s="4"/>
      <c r="C170" s="4" t="s">
        <v>223</v>
      </c>
      <c r="D170" s="4" t="s">
        <v>452</v>
      </c>
      <c r="E170" s="4" t="s">
        <v>594</v>
      </c>
      <c r="G170" s="20">
        <v>20</v>
      </c>
      <c r="H170" s="31" t="s">
        <v>620</v>
      </c>
    </row>
    <row r="171" spans="1:8" x14ac:dyDescent="0.25">
      <c r="F171" s="4" t="s">
        <v>775</v>
      </c>
      <c r="G171" s="20">
        <v>18</v>
      </c>
    </row>
    <row r="172" spans="1:8" x14ac:dyDescent="0.25">
      <c r="A172" s="4"/>
      <c r="B172" s="4"/>
      <c r="C172" s="4"/>
      <c r="D172" s="4"/>
      <c r="E172" s="4"/>
      <c r="F172" s="4" t="s">
        <v>765</v>
      </c>
      <c r="G172" s="20">
        <v>2</v>
      </c>
    </row>
    <row r="173" spans="1:8" x14ac:dyDescent="0.25">
      <c r="A173" s="4" t="s">
        <v>76</v>
      </c>
      <c r="B173" s="4"/>
      <c r="C173" s="4" t="s">
        <v>224</v>
      </c>
      <c r="D173" s="4" t="s">
        <v>453</v>
      </c>
      <c r="E173" s="4" t="s">
        <v>594</v>
      </c>
      <c r="G173" s="20">
        <v>10</v>
      </c>
      <c r="H173" s="31" t="s">
        <v>620</v>
      </c>
    </row>
    <row r="174" spans="1:8" x14ac:dyDescent="0.25">
      <c r="F174" s="4" t="s">
        <v>776</v>
      </c>
      <c r="G174" s="20">
        <v>9</v>
      </c>
    </row>
    <row r="175" spans="1:8" x14ac:dyDescent="0.25">
      <c r="A175" s="4"/>
      <c r="B175" s="4"/>
      <c r="C175" s="4"/>
      <c r="D175" s="4"/>
      <c r="E175" s="4"/>
      <c r="F175" s="4" t="s">
        <v>777</v>
      </c>
      <c r="G175" s="20">
        <v>1</v>
      </c>
    </row>
    <row r="176" spans="1:8" ht="12.9" customHeight="1" x14ac:dyDescent="0.25">
      <c r="C176" s="54" t="s">
        <v>151</v>
      </c>
      <c r="D176" s="141" t="s">
        <v>455</v>
      </c>
      <c r="E176" s="142"/>
      <c r="F176" s="142"/>
      <c r="G176" s="142"/>
    </row>
    <row r="177" spans="1:8" x14ac:dyDescent="0.25">
      <c r="A177" s="4" t="s">
        <v>77</v>
      </c>
      <c r="B177" s="4"/>
      <c r="C177" s="4" t="s">
        <v>225</v>
      </c>
      <c r="D177" s="4" t="s">
        <v>456</v>
      </c>
      <c r="E177" s="4" t="s">
        <v>594</v>
      </c>
      <c r="G177" s="20">
        <v>10</v>
      </c>
      <c r="H177" s="31" t="s">
        <v>620</v>
      </c>
    </row>
    <row r="178" spans="1:8" x14ac:dyDescent="0.25">
      <c r="F178" s="4" t="s">
        <v>776</v>
      </c>
      <c r="G178" s="20">
        <v>9</v>
      </c>
    </row>
    <row r="179" spans="1:8" x14ac:dyDescent="0.25">
      <c r="A179" s="4"/>
      <c r="B179" s="4"/>
      <c r="C179" s="4"/>
      <c r="D179" s="4"/>
      <c r="E179" s="4"/>
      <c r="F179" s="4" t="s">
        <v>777</v>
      </c>
      <c r="G179" s="20">
        <v>1</v>
      </c>
    </row>
    <row r="180" spans="1:8" ht="12.9" customHeight="1" x14ac:dyDescent="0.25">
      <c r="C180" s="54" t="s">
        <v>151</v>
      </c>
      <c r="D180" s="141" t="s">
        <v>455</v>
      </c>
      <c r="E180" s="142"/>
      <c r="F180" s="142"/>
      <c r="G180" s="142"/>
    </row>
    <row r="181" spans="1:8" x14ac:dyDescent="0.25">
      <c r="A181" s="4" t="s">
        <v>78</v>
      </c>
      <c r="B181" s="4"/>
      <c r="C181" s="4" t="s">
        <v>226</v>
      </c>
      <c r="D181" s="4" t="s">
        <v>457</v>
      </c>
      <c r="E181" s="4" t="s">
        <v>597</v>
      </c>
      <c r="G181" s="20">
        <v>4</v>
      </c>
      <c r="H181" s="31" t="s">
        <v>620</v>
      </c>
    </row>
    <row r="182" spans="1:8" x14ac:dyDescent="0.25">
      <c r="F182" s="4" t="s">
        <v>778</v>
      </c>
      <c r="G182" s="20">
        <v>2</v>
      </c>
    </row>
    <row r="183" spans="1:8" x14ac:dyDescent="0.25">
      <c r="A183" s="4"/>
      <c r="B183" s="4"/>
      <c r="C183" s="4"/>
      <c r="D183" s="4"/>
      <c r="E183" s="4"/>
      <c r="F183" s="4" t="s">
        <v>779</v>
      </c>
      <c r="G183" s="20">
        <v>2</v>
      </c>
    </row>
    <row r="184" spans="1:8" x14ac:dyDescent="0.25">
      <c r="A184" s="4" t="s">
        <v>79</v>
      </c>
      <c r="B184" s="4"/>
      <c r="C184" s="4" t="s">
        <v>227</v>
      </c>
      <c r="D184" s="4" t="s">
        <v>458</v>
      </c>
      <c r="E184" s="4" t="s">
        <v>597</v>
      </c>
      <c r="F184" s="4" t="s">
        <v>779</v>
      </c>
      <c r="G184" s="20">
        <v>2</v>
      </c>
      <c r="H184" s="31" t="s">
        <v>620</v>
      </c>
    </row>
    <row r="185" spans="1:8" x14ac:dyDescent="0.25">
      <c r="A185" s="4" t="s">
        <v>80</v>
      </c>
      <c r="B185" s="4"/>
      <c r="C185" s="4" t="s">
        <v>228</v>
      </c>
      <c r="D185" s="4" t="s">
        <v>459</v>
      </c>
      <c r="E185" s="4" t="s">
        <v>594</v>
      </c>
      <c r="F185" s="4" t="s">
        <v>26</v>
      </c>
      <c r="G185" s="20">
        <v>20</v>
      </c>
      <c r="H185" s="31" t="s">
        <v>620</v>
      </c>
    </row>
    <row r="186" spans="1:8" x14ac:dyDescent="0.25">
      <c r="A186" s="4" t="s">
        <v>81</v>
      </c>
      <c r="B186" s="4"/>
      <c r="C186" s="4" t="s">
        <v>229</v>
      </c>
      <c r="D186" s="4" t="s">
        <v>460</v>
      </c>
      <c r="E186" s="4" t="s">
        <v>594</v>
      </c>
      <c r="F186" s="4" t="s">
        <v>26</v>
      </c>
      <c r="G186" s="20">
        <v>20</v>
      </c>
      <c r="H186" s="31" t="s">
        <v>620</v>
      </c>
    </row>
    <row r="187" spans="1:8" x14ac:dyDescent="0.25">
      <c r="A187" s="4" t="s">
        <v>82</v>
      </c>
      <c r="B187" s="4"/>
      <c r="C187" s="4" t="s">
        <v>230</v>
      </c>
      <c r="D187" s="4" t="s">
        <v>461</v>
      </c>
      <c r="E187" s="4" t="s">
        <v>597</v>
      </c>
      <c r="F187" s="4" t="s">
        <v>780</v>
      </c>
      <c r="G187" s="20">
        <v>1</v>
      </c>
      <c r="H187" s="31" t="s">
        <v>620</v>
      </c>
    </row>
    <row r="188" spans="1:8" ht="12.9" customHeight="1" x14ac:dyDescent="0.25">
      <c r="C188" s="54" t="s">
        <v>151</v>
      </c>
      <c r="D188" s="141" t="s">
        <v>463</v>
      </c>
      <c r="E188" s="142"/>
      <c r="F188" s="142"/>
      <c r="G188" s="142"/>
    </row>
    <row r="189" spans="1:8" x14ac:dyDescent="0.25">
      <c r="A189" s="4" t="s">
        <v>83</v>
      </c>
      <c r="B189" s="4"/>
      <c r="C189" s="4" t="s">
        <v>232</v>
      </c>
      <c r="D189" s="4" t="s">
        <v>465</v>
      </c>
      <c r="E189" s="4" t="s">
        <v>598</v>
      </c>
      <c r="G189" s="20">
        <v>4</v>
      </c>
      <c r="H189" s="31" t="s">
        <v>620</v>
      </c>
    </row>
    <row r="190" spans="1:8" x14ac:dyDescent="0.25">
      <c r="F190" s="4" t="s">
        <v>778</v>
      </c>
      <c r="G190" s="20">
        <v>2</v>
      </c>
    </row>
    <row r="191" spans="1:8" x14ac:dyDescent="0.25">
      <c r="A191" s="4"/>
      <c r="B191" s="4"/>
      <c r="C191" s="4"/>
      <c r="D191" s="4"/>
      <c r="E191" s="4"/>
      <c r="F191" s="4" t="s">
        <v>779</v>
      </c>
      <c r="G191" s="20">
        <v>2</v>
      </c>
    </row>
    <row r="192" spans="1:8" x14ac:dyDescent="0.25">
      <c r="A192" s="4" t="s">
        <v>84</v>
      </c>
      <c r="B192" s="4"/>
      <c r="C192" s="4" t="s">
        <v>233</v>
      </c>
      <c r="D192" s="4" t="s">
        <v>467</v>
      </c>
      <c r="E192" s="4" t="s">
        <v>598</v>
      </c>
      <c r="G192" s="20">
        <v>8</v>
      </c>
      <c r="H192" s="31" t="s">
        <v>620</v>
      </c>
    </row>
    <row r="193" spans="1:8" x14ac:dyDescent="0.25">
      <c r="F193" s="4" t="s">
        <v>781</v>
      </c>
      <c r="G193" s="20">
        <v>4</v>
      </c>
    </row>
    <row r="194" spans="1:8" x14ac:dyDescent="0.25">
      <c r="A194" s="4"/>
      <c r="B194" s="4"/>
      <c r="C194" s="4"/>
      <c r="D194" s="4"/>
      <c r="E194" s="4"/>
      <c r="F194" s="4" t="s">
        <v>782</v>
      </c>
      <c r="G194" s="20">
        <v>4</v>
      </c>
    </row>
    <row r="195" spans="1:8" x14ac:dyDescent="0.25">
      <c r="A195" s="4" t="s">
        <v>85</v>
      </c>
      <c r="B195" s="4"/>
      <c r="C195" s="4" t="s">
        <v>234</v>
      </c>
      <c r="D195" s="4" t="s">
        <v>468</v>
      </c>
      <c r="E195" s="4" t="s">
        <v>597</v>
      </c>
      <c r="G195" s="20">
        <v>4</v>
      </c>
      <c r="H195" s="31" t="s">
        <v>620</v>
      </c>
    </row>
    <row r="196" spans="1:8" x14ac:dyDescent="0.25">
      <c r="F196" s="4" t="s">
        <v>778</v>
      </c>
      <c r="G196" s="20">
        <v>2</v>
      </c>
    </row>
    <row r="197" spans="1:8" x14ac:dyDescent="0.25">
      <c r="A197" s="4"/>
      <c r="B197" s="4"/>
      <c r="C197" s="4"/>
      <c r="D197" s="4"/>
      <c r="E197" s="4"/>
      <c r="F197" s="4" t="s">
        <v>779</v>
      </c>
      <c r="G197" s="20">
        <v>2</v>
      </c>
    </row>
    <row r="198" spans="1:8" x14ac:dyDescent="0.25">
      <c r="A198" s="4" t="s">
        <v>86</v>
      </c>
      <c r="B198" s="4"/>
      <c r="C198" s="4" t="s">
        <v>235</v>
      </c>
      <c r="D198" s="4" t="s">
        <v>470</v>
      </c>
      <c r="E198" s="4" t="s">
        <v>598</v>
      </c>
      <c r="F198" s="4" t="s">
        <v>783</v>
      </c>
      <c r="G198" s="20">
        <v>2</v>
      </c>
      <c r="H198" s="31" t="s">
        <v>620</v>
      </c>
    </row>
    <row r="199" spans="1:8" x14ac:dyDescent="0.25">
      <c r="A199" s="4" t="s">
        <v>87</v>
      </c>
      <c r="B199" s="4"/>
      <c r="C199" s="4" t="s">
        <v>237</v>
      </c>
      <c r="D199" s="4" t="s">
        <v>472</v>
      </c>
      <c r="E199" s="4" t="s">
        <v>591</v>
      </c>
      <c r="F199" s="4" t="s">
        <v>784</v>
      </c>
      <c r="G199" s="20">
        <v>42</v>
      </c>
      <c r="H199" s="31" t="s">
        <v>620</v>
      </c>
    </row>
    <row r="200" spans="1:8" x14ac:dyDescent="0.25">
      <c r="A200" s="4" t="s">
        <v>88</v>
      </c>
      <c r="B200" s="4"/>
      <c r="C200" s="4" t="s">
        <v>239</v>
      </c>
      <c r="D200" s="4" t="s">
        <v>475</v>
      </c>
      <c r="E200" s="4" t="s">
        <v>594</v>
      </c>
      <c r="F200" s="4" t="s">
        <v>785</v>
      </c>
      <c r="G200" s="20">
        <v>18.5</v>
      </c>
      <c r="H200" s="31" t="s">
        <v>620</v>
      </c>
    </row>
    <row r="201" spans="1:8" ht="12.9" customHeight="1" x14ac:dyDescent="0.25">
      <c r="C201" s="54" t="s">
        <v>151</v>
      </c>
      <c r="D201" s="141" t="s">
        <v>477</v>
      </c>
      <c r="E201" s="142"/>
      <c r="F201" s="142"/>
      <c r="G201" s="142"/>
    </row>
    <row r="202" spans="1:8" x14ac:dyDescent="0.25">
      <c r="A202" s="4" t="s">
        <v>89</v>
      </c>
      <c r="B202" s="4"/>
      <c r="C202" s="4" t="s">
        <v>240</v>
      </c>
      <c r="D202" s="4" t="s">
        <v>478</v>
      </c>
      <c r="E202" s="4" t="s">
        <v>597</v>
      </c>
      <c r="F202" s="4" t="s">
        <v>8</v>
      </c>
      <c r="G202" s="20">
        <v>2</v>
      </c>
      <c r="H202" s="31" t="s">
        <v>620</v>
      </c>
    </row>
    <row r="203" spans="1:8" x14ac:dyDescent="0.25">
      <c r="A203" s="4" t="s">
        <v>90</v>
      </c>
      <c r="B203" s="4"/>
      <c r="C203" s="4" t="s">
        <v>241</v>
      </c>
      <c r="D203" s="4" t="s">
        <v>479</v>
      </c>
      <c r="E203" s="4" t="s">
        <v>594</v>
      </c>
      <c r="F203" s="4" t="s">
        <v>785</v>
      </c>
      <c r="G203" s="20">
        <v>18.5</v>
      </c>
      <c r="H203" s="31" t="s">
        <v>620</v>
      </c>
    </row>
    <row r="204" spans="1:8" x14ac:dyDescent="0.25">
      <c r="A204" s="4" t="s">
        <v>91</v>
      </c>
      <c r="B204" s="4"/>
      <c r="C204" s="4" t="s">
        <v>242</v>
      </c>
      <c r="D204" s="4" t="s">
        <v>480</v>
      </c>
      <c r="E204" s="4" t="s">
        <v>594</v>
      </c>
      <c r="F204" s="4" t="s">
        <v>786</v>
      </c>
      <c r="G204" s="20">
        <v>12</v>
      </c>
      <c r="H204" s="31" t="s">
        <v>620</v>
      </c>
    </row>
    <row r="205" spans="1:8" ht="12.9" customHeight="1" x14ac:dyDescent="0.25">
      <c r="C205" s="54" t="s">
        <v>151</v>
      </c>
      <c r="D205" s="141" t="s">
        <v>481</v>
      </c>
      <c r="E205" s="142"/>
      <c r="F205" s="142"/>
      <c r="G205" s="142"/>
    </row>
    <row r="206" spans="1:8" x14ac:dyDescent="0.25">
      <c r="A206" s="4" t="s">
        <v>92</v>
      </c>
      <c r="B206" s="4"/>
      <c r="C206" s="4" t="s">
        <v>244</v>
      </c>
      <c r="D206" s="4" t="s">
        <v>483</v>
      </c>
      <c r="E206" s="4" t="s">
        <v>591</v>
      </c>
      <c r="F206" s="4" t="s">
        <v>787</v>
      </c>
      <c r="G206" s="20">
        <v>20.440000000000001</v>
      </c>
      <c r="H206" s="31" t="s">
        <v>620</v>
      </c>
    </row>
    <row r="207" spans="1:8" ht="12.9" customHeight="1" x14ac:dyDescent="0.25">
      <c r="C207" s="54" t="s">
        <v>151</v>
      </c>
      <c r="D207" s="141" t="s">
        <v>484</v>
      </c>
      <c r="E207" s="142"/>
      <c r="F207" s="142"/>
      <c r="G207" s="142"/>
    </row>
    <row r="208" spans="1:8" x14ac:dyDescent="0.25">
      <c r="A208" s="4" t="s">
        <v>93</v>
      </c>
      <c r="B208" s="4"/>
      <c r="C208" s="4" t="s">
        <v>245</v>
      </c>
      <c r="D208" s="4" t="s">
        <v>485</v>
      </c>
      <c r="E208" s="4" t="s">
        <v>597</v>
      </c>
      <c r="F208" s="4" t="s">
        <v>754</v>
      </c>
      <c r="G208" s="20">
        <v>2</v>
      </c>
      <c r="H208" s="31" t="s">
        <v>620</v>
      </c>
    </row>
    <row r="209" spans="1:8" ht="12.9" customHeight="1" x14ac:dyDescent="0.25">
      <c r="C209" s="54" t="s">
        <v>151</v>
      </c>
      <c r="D209" s="141" t="s">
        <v>486</v>
      </c>
      <c r="E209" s="142"/>
      <c r="F209" s="142"/>
      <c r="G209" s="142"/>
    </row>
    <row r="210" spans="1:8" x14ac:dyDescent="0.25">
      <c r="A210" s="4" t="s">
        <v>94</v>
      </c>
      <c r="B210" s="4"/>
      <c r="C210" s="4" t="s">
        <v>245</v>
      </c>
      <c r="D210" s="4" t="s">
        <v>487</v>
      </c>
      <c r="E210" s="4" t="s">
        <v>597</v>
      </c>
      <c r="G210" s="20">
        <v>3</v>
      </c>
      <c r="H210" s="31" t="s">
        <v>620</v>
      </c>
    </row>
    <row r="211" spans="1:8" x14ac:dyDescent="0.25">
      <c r="F211" s="4" t="s">
        <v>755</v>
      </c>
      <c r="G211" s="20">
        <v>2</v>
      </c>
    </row>
    <row r="212" spans="1:8" x14ac:dyDescent="0.25">
      <c r="A212" s="4"/>
      <c r="B212" s="4"/>
      <c r="C212" s="4"/>
      <c r="D212" s="4"/>
      <c r="E212" s="4"/>
      <c r="F212" s="4" t="s">
        <v>756</v>
      </c>
      <c r="G212" s="20">
        <v>1</v>
      </c>
    </row>
    <row r="213" spans="1:8" ht="12.9" customHeight="1" x14ac:dyDescent="0.25">
      <c r="C213" s="54" t="s">
        <v>151</v>
      </c>
      <c r="D213" s="141" t="s">
        <v>486</v>
      </c>
      <c r="E213" s="142"/>
      <c r="F213" s="142"/>
      <c r="G213" s="142"/>
    </row>
    <row r="214" spans="1:8" x14ac:dyDescent="0.25">
      <c r="A214" s="4" t="s">
        <v>95</v>
      </c>
      <c r="B214" s="4"/>
      <c r="C214" s="4" t="s">
        <v>247</v>
      </c>
      <c r="D214" s="4" t="s">
        <v>489</v>
      </c>
      <c r="E214" s="4" t="s">
        <v>595</v>
      </c>
      <c r="G214" s="20">
        <v>5312.65</v>
      </c>
      <c r="H214" s="31" t="s">
        <v>620</v>
      </c>
    </row>
    <row r="215" spans="1:8" x14ac:dyDescent="0.25">
      <c r="F215" s="4" t="s">
        <v>788</v>
      </c>
      <c r="G215" s="20">
        <v>2764.9</v>
      </c>
    </row>
    <row r="216" spans="1:8" x14ac:dyDescent="0.25">
      <c r="A216" s="4"/>
      <c r="B216" s="4"/>
      <c r="C216" s="4"/>
      <c r="D216" s="4"/>
      <c r="E216" s="4"/>
      <c r="F216" s="4" t="s">
        <v>789</v>
      </c>
      <c r="G216" s="20">
        <v>2547.75</v>
      </c>
    </row>
    <row r="217" spans="1:8" x14ac:dyDescent="0.25">
      <c r="A217" s="6" t="s">
        <v>96</v>
      </c>
      <c r="B217" s="6"/>
      <c r="C217" s="6" t="s">
        <v>248</v>
      </c>
      <c r="D217" s="6" t="s">
        <v>490</v>
      </c>
      <c r="E217" s="6" t="s">
        <v>597</v>
      </c>
      <c r="G217" s="21">
        <v>259.45499999999998</v>
      </c>
      <c r="H217" s="32" t="s">
        <v>620</v>
      </c>
    </row>
    <row r="218" spans="1:8" x14ac:dyDescent="0.25">
      <c r="F218" s="6" t="s">
        <v>790</v>
      </c>
      <c r="G218" s="21">
        <v>128.6</v>
      </c>
    </row>
    <row r="219" spans="1:8" x14ac:dyDescent="0.25">
      <c r="A219" s="6"/>
      <c r="B219" s="6"/>
      <c r="C219" s="6"/>
      <c r="D219" s="6"/>
      <c r="E219" s="6"/>
      <c r="F219" s="6" t="s">
        <v>791</v>
      </c>
      <c r="G219" s="21">
        <v>118.5</v>
      </c>
    </row>
    <row r="220" spans="1:8" x14ac:dyDescent="0.25">
      <c r="A220" s="6"/>
      <c r="B220" s="6"/>
      <c r="C220" s="6"/>
      <c r="D220" s="6"/>
      <c r="E220" s="6"/>
      <c r="F220" s="6" t="s">
        <v>792</v>
      </c>
      <c r="G220" s="21">
        <v>12.355</v>
      </c>
    </row>
    <row r="221" spans="1:8" ht="12.9" customHeight="1" x14ac:dyDescent="0.25">
      <c r="C221" s="54" t="s">
        <v>151</v>
      </c>
      <c r="D221" s="141" t="s">
        <v>491</v>
      </c>
      <c r="E221" s="142"/>
      <c r="F221" s="142"/>
      <c r="G221" s="142"/>
    </row>
    <row r="222" spans="1:8" x14ac:dyDescent="0.25">
      <c r="A222" s="6" t="s">
        <v>97</v>
      </c>
      <c r="B222" s="6"/>
      <c r="C222" s="6" t="s">
        <v>249</v>
      </c>
      <c r="D222" s="6" t="s">
        <v>492</v>
      </c>
      <c r="E222" s="6" t="s">
        <v>597</v>
      </c>
      <c r="F222" s="6" t="s">
        <v>793</v>
      </c>
      <c r="G222" s="21">
        <v>1</v>
      </c>
      <c r="H222" s="32" t="s">
        <v>620</v>
      </c>
    </row>
    <row r="223" spans="1:8" ht="25.65" customHeight="1" x14ac:dyDescent="0.25">
      <c r="C223" s="54" t="s">
        <v>151</v>
      </c>
      <c r="D223" s="141" t="s">
        <v>493</v>
      </c>
      <c r="E223" s="142"/>
      <c r="F223" s="142"/>
      <c r="G223" s="142"/>
    </row>
    <row r="224" spans="1:8" x14ac:dyDescent="0.25">
      <c r="A224" s="6" t="s">
        <v>98</v>
      </c>
      <c r="B224" s="6"/>
      <c r="C224" s="6" t="s">
        <v>250</v>
      </c>
      <c r="D224" s="6" t="s">
        <v>494</v>
      </c>
      <c r="E224" s="6" t="s">
        <v>594</v>
      </c>
      <c r="G224" s="21">
        <v>29.7</v>
      </c>
      <c r="H224" s="32" t="s">
        <v>620</v>
      </c>
    </row>
    <row r="225" spans="1:8" x14ac:dyDescent="0.25">
      <c r="F225" s="6" t="s">
        <v>794</v>
      </c>
      <c r="G225" s="21">
        <v>19</v>
      </c>
    </row>
    <row r="226" spans="1:8" x14ac:dyDescent="0.25">
      <c r="A226" s="6"/>
      <c r="B226" s="6"/>
      <c r="C226" s="6"/>
      <c r="D226" s="6"/>
      <c r="E226" s="6"/>
      <c r="F226" s="6" t="s">
        <v>795</v>
      </c>
      <c r="G226" s="21">
        <v>8</v>
      </c>
    </row>
    <row r="227" spans="1:8" x14ac:dyDescent="0.25">
      <c r="A227" s="6"/>
      <c r="B227" s="6"/>
      <c r="C227" s="6"/>
      <c r="D227" s="6"/>
      <c r="E227" s="6"/>
      <c r="F227" s="6" t="s">
        <v>796</v>
      </c>
      <c r="G227" s="21">
        <v>2.7</v>
      </c>
    </row>
    <row r="228" spans="1:8" x14ac:dyDescent="0.25">
      <c r="A228" s="6" t="s">
        <v>99</v>
      </c>
      <c r="B228" s="6"/>
      <c r="C228" s="6" t="s">
        <v>251</v>
      </c>
      <c r="D228" s="6" t="s">
        <v>495</v>
      </c>
      <c r="E228" s="6" t="s">
        <v>595</v>
      </c>
      <c r="G228" s="21">
        <v>34.020000000000003</v>
      </c>
      <c r="H228" s="32" t="s">
        <v>620</v>
      </c>
    </row>
    <row r="229" spans="1:8" x14ac:dyDescent="0.25">
      <c r="F229" s="6" t="s">
        <v>797</v>
      </c>
      <c r="G229" s="21">
        <v>3.78</v>
      </c>
    </row>
    <row r="230" spans="1:8" x14ac:dyDescent="0.25">
      <c r="A230" s="6"/>
      <c r="B230" s="6"/>
      <c r="C230" s="6"/>
      <c r="D230" s="6"/>
      <c r="E230" s="6"/>
      <c r="F230" s="6" t="s">
        <v>798</v>
      </c>
      <c r="G230" s="21">
        <v>30.24</v>
      </c>
    </row>
    <row r="231" spans="1:8" ht="12.9" customHeight="1" x14ac:dyDescent="0.25">
      <c r="C231" s="54" t="s">
        <v>151</v>
      </c>
      <c r="D231" s="141" t="s">
        <v>496</v>
      </c>
      <c r="E231" s="142"/>
      <c r="F231" s="142"/>
      <c r="G231" s="142"/>
    </row>
    <row r="232" spans="1:8" x14ac:dyDescent="0.25">
      <c r="A232" s="4" t="s">
        <v>100</v>
      </c>
      <c r="B232" s="4"/>
      <c r="C232" s="4" t="s">
        <v>252</v>
      </c>
      <c r="D232" s="4" t="s">
        <v>497</v>
      </c>
      <c r="E232" s="4" t="s">
        <v>597</v>
      </c>
      <c r="F232" s="4" t="s">
        <v>799</v>
      </c>
      <c r="G232" s="20">
        <v>1</v>
      </c>
      <c r="H232" s="31" t="s">
        <v>620</v>
      </c>
    </row>
    <row r="233" spans="1:8" x14ac:dyDescent="0.25">
      <c r="A233" s="4" t="s">
        <v>101</v>
      </c>
      <c r="B233" s="4"/>
      <c r="C233" s="4" t="s">
        <v>253</v>
      </c>
      <c r="D233" s="4" t="s">
        <v>499</v>
      </c>
      <c r="E233" s="4" t="s">
        <v>594</v>
      </c>
      <c r="F233" s="4" t="s">
        <v>800</v>
      </c>
      <c r="G233" s="20">
        <v>7.2</v>
      </c>
      <c r="H233" s="31" t="s">
        <v>620</v>
      </c>
    </row>
    <row r="234" spans="1:8" x14ac:dyDescent="0.25">
      <c r="A234" s="4" t="s">
        <v>102</v>
      </c>
      <c r="B234" s="4"/>
      <c r="C234" s="4" t="s">
        <v>254</v>
      </c>
      <c r="D234" s="4" t="s">
        <v>500</v>
      </c>
      <c r="E234" s="4" t="s">
        <v>597</v>
      </c>
      <c r="F234" s="4" t="s">
        <v>801</v>
      </c>
      <c r="G234" s="20">
        <v>1</v>
      </c>
      <c r="H234" s="31" t="s">
        <v>620</v>
      </c>
    </row>
    <row r="235" spans="1:8" x14ac:dyDescent="0.25">
      <c r="A235" s="4" t="s">
        <v>103</v>
      </c>
      <c r="B235" s="4"/>
      <c r="C235" s="4" t="s">
        <v>255</v>
      </c>
      <c r="D235" s="4" t="s">
        <v>501</v>
      </c>
      <c r="E235" s="4" t="s">
        <v>594</v>
      </c>
      <c r="F235" s="4" t="s">
        <v>800</v>
      </c>
      <c r="G235" s="20">
        <v>7.2</v>
      </c>
      <c r="H235" s="31" t="s">
        <v>620</v>
      </c>
    </row>
    <row r="236" spans="1:8" x14ac:dyDescent="0.25">
      <c r="A236" s="6" t="s">
        <v>104</v>
      </c>
      <c r="B236" s="6"/>
      <c r="C236" s="6" t="s">
        <v>256</v>
      </c>
      <c r="D236" s="6" t="s">
        <v>502</v>
      </c>
      <c r="E236" s="6" t="s">
        <v>597</v>
      </c>
      <c r="F236" s="6" t="s">
        <v>802</v>
      </c>
      <c r="G236" s="21">
        <v>1</v>
      </c>
      <c r="H236" s="32" t="s">
        <v>620</v>
      </c>
    </row>
    <row r="237" spans="1:8" ht="12.9" customHeight="1" x14ac:dyDescent="0.25">
      <c r="C237" s="54" t="s">
        <v>151</v>
      </c>
      <c r="D237" s="141" t="s">
        <v>503</v>
      </c>
      <c r="E237" s="142"/>
      <c r="F237" s="142"/>
      <c r="G237" s="142"/>
    </row>
    <row r="238" spans="1:8" x14ac:dyDescent="0.25">
      <c r="A238" s="4" t="s">
        <v>105</v>
      </c>
      <c r="B238" s="4"/>
      <c r="C238" s="4" t="s">
        <v>257</v>
      </c>
      <c r="D238" s="4" t="s">
        <v>504</v>
      </c>
      <c r="E238" s="4" t="s">
        <v>595</v>
      </c>
      <c r="F238" s="4" t="s">
        <v>803</v>
      </c>
      <c r="G238" s="20">
        <v>430</v>
      </c>
      <c r="H238" s="31" t="s">
        <v>620</v>
      </c>
    </row>
    <row r="239" spans="1:8" x14ac:dyDescent="0.25">
      <c r="A239" s="4" t="s">
        <v>106</v>
      </c>
      <c r="B239" s="4"/>
      <c r="C239" s="4" t="s">
        <v>258</v>
      </c>
      <c r="D239" s="4" t="s">
        <v>505</v>
      </c>
      <c r="E239" s="4" t="s">
        <v>595</v>
      </c>
      <c r="F239" s="4" t="s">
        <v>804</v>
      </c>
      <c r="G239" s="20">
        <v>250</v>
      </c>
      <c r="H239" s="31" t="s">
        <v>620</v>
      </c>
    </row>
    <row r="240" spans="1:8" x14ac:dyDescent="0.25">
      <c r="A240" s="4" t="s">
        <v>107</v>
      </c>
      <c r="B240" s="4"/>
      <c r="C240" s="4" t="s">
        <v>259</v>
      </c>
      <c r="D240" s="4" t="s">
        <v>506</v>
      </c>
      <c r="E240" s="4" t="s">
        <v>595</v>
      </c>
      <c r="F240" s="4" t="s">
        <v>805</v>
      </c>
      <c r="G240" s="20">
        <v>500</v>
      </c>
      <c r="H240" s="31" t="s">
        <v>620</v>
      </c>
    </row>
    <row r="241" spans="1:8" x14ac:dyDescent="0.25">
      <c r="A241" s="4" t="s">
        <v>108</v>
      </c>
      <c r="B241" s="4"/>
      <c r="C241" s="4" t="s">
        <v>260</v>
      </c>
      <c r="D241" s="4" t="s">
        <v>507</v>
      </c>
      <c r="E241" s="4" t="s">
        <v>595</v>
      </c>
      <c r="F241" s="4" t="s">
        <v>806</v>
      </c>
      <c r="G241" s="20">
        <v>1841.472</v>
      </c>
      <c r="H241" s="31" t="s">
        <v>620</v>
      </c>
    </row>
    <row r="242" spans="1:8" x14ac:dyDescent="0.25">
      <c r="A242" s="4" t="s">
        <v>109</v>
      </c>
      <c r="B242" s="4"/>
      <c r="C242" s="4" t="s">
        <v>261</v>
      </c>
      <c r="D242" s="4" t="s">
        <v>509</v>
      </c>
      <c r="E242" s="4" t="s">
        <v>595</v>
      </c>
      <c r="F242" s="4" t="s">
        <v>807</v>
      </c>
      <c r="G242" s="20">
        <v>312.89999999999998</v>
      </c>
      <c r="H242" s="31" t="s">
        <v>620</v>
      </c>
    </row>
    <row r="243" spans="1:8" x14ac:dyDescent="0.25">
      <c r="A243" s="6" t="s">
        <v>110</v>
      </c>
      <c r="B243" s="6"/>
      <c r="C243" s="6" t="s">
        <v>262</v>
      </c>
      <c r="D243" s="6" t="s">
        <v>511</v>
      </c>
      <c r="E243" s="6" t="s">
        <v>593</v>
      </c>
      <c r="G243" s="21">
        <v>0.31290000000000001</v>
      </c>
      <c r="H243" s="32" t="s">
        <v>620</v>
      </c>
    </row>
    <row r="244" spans="1:8" x14ac:dyDescent="0.25">
      <c r="F244" s="6" t="s">
        <v>808</v>
      </c>
      <c r="G244" s="21">
        <v>0.29799999999999999</v>
      </c>
    </row>
    <row r="245" spans="1:8" x14ac:dyDescent="0.25">
      <c r="A245" s="6"/>
      <c r="B245" s="6"/>
      <c r="C245" s="6"/>
      <c r="D245" s="6"/>
      <c r="E245" s="6"/>
      <c r="F245" s="6" t="s">
        <v>809</v>
      </c>
      <c r="G245" s="21">
        <v>1.49E-2</v>
      </c>
    </row>
    <row r="246" spans="1:8" ht="12.9" customHeight="1" x14ac:dyDescent="0.25">
      <c r="C246" s="54" t="s">
        <v>151</v>
      </c>
      <c r="D246" s="141" t="s">
        <v>512</v>
      </c>
      <c r="E246" s="142"/>
      <c r="F246" s="142"/>
      <c r="G246" s="142"/>
    </row>
    <row r="247" spans="1:8" x14ac:dyDescent="0.25">
      <c r="A247" s="4" t="s">
        <v>111</v>
      </c>
      <c r="B247" s="4"/>
      <c r="C247" s="4" t="s">
        <v>263</v>
      </c>
      <c r="D247" s="4" t="s">
        <v>513</v>
      </c>
      <c r="E247" s="4" t="s">
        <v>595</v>
      </c>
      <c r="F247" s="4" t="s">
        <v>810</v>
      </c>
      <c r="G247" s="20">
        <v>175</v>
      </c>
      <c r="H247" s="31" t="s">
        <v>620</v>
      </c>
    </row>
    <row r="248" spans="1:8" x14ac:dyDescent="0.25">
      <c r="A248" s="4" t="s">
        <v>112</v>
      </c>
      <c r="B248" s="4"/>
      <c r="C248" s="4" t="s">
        <v>265</v>
      </c>
      <c r="D248" s="4" t="s">
        <v>515</v>
      </c>
      <c r="E248" s="4" t="s">
        <v>591</v>
      </c>
      <c r="F248" s="4" t="s">
        <v>811</v>
      </c>
      <c r="G248" s="20">
        <v>19.95</v>
      </c>
      <c r="H248" s="31" t="s">
        <v>620</v>
      </c>
    </row>
    <row r="249" spans="1:8" ht="12.9" customHeight="1" x14ac:dyDescent="0.25">
      <c r="C249" s="54" t="s">
        <v>151</v>
      </c>
      <c r="D249" s="141" t="s">
        <v>517</v>
      </c>
      <c r="E249" s="142"/>
      <c r="F249" s="142"/>
      <c r="G249" s="142"/>
    </row>
    <row r="250" spans="1:8" x14ac:dyDescent="0.25">
      <c r="A250" s="4" t="s">
        <v>113</v>
      </c>
      <c r="B250" s="4"/>
      <c r="C250" s="4" t="s">
        <v>266</v>
      </c>
      <c r="D250" s="4" t="s">
        <v>518</v>
      </c>
      <c r="E250" s="4" t="s">
        <v>591</v>
      </c>
      <c r="F250" s="4" t="s">
        <v>812</v>
      </c>
      <c r="G250" s="20">
        <v>19.95</v>
      </c>
      <c r="H250" s="31" t="s">
        <v>620</v>
      </c>
    </row>
    <row r="251" spans="1:8" ht="12.9" customHeight="1" x14ac:dyDescent="0.25">
      <c r="C251" s="54" t="s">
        <v>151</v>
      </c>
      <c r="D251" s="141" t="s">
        <v>520</v>
      </c>
      <c r="E251" s="142"/>
      <c r="F251" s="142"/>
      <c r="G251" s="142"/>
    </row>
    <row r="252" spans="1:8" x14ac:dyDescent="0.25">
      <c r="A252" s="6" t="s">
        <v>114</v>
      </c>
      <c r="B252" s="6"/>
      <c r="C252" s="6" t="s">
        <v>267</v>
      </c>
      <c r="D252" s="6" t="s">
        <v>521</v>
      </c>
      <c r="E252" s="6" t="s">
        <v>591</v>
      </c>
      <c r="G252" s="21">
        <v>20.349</v>
      </c>
      <c r="H252" s="32" t="s">
        <v>620</v>
      </c>
    </row>
    <row r="253" spans="1:8" x14ac:dyDescent="0.25">
      <c r="F253" s="6" t="s">
        <v>812</v>
      </c>
      <c r="G253" s="21">
        <v>19.95</v>
      </c>
    </row>
    <row r="254" spans="1:8" x14ac:dyDescent="0.25">
      <c r="A254" s="6"/>
      <c r="B254" s="6"/>
      <c r="C254" s="6"/>
      <c r="D254" s="6"/>
      <c r="E254" s="6"/>
      <c r="F254" s="6" t="s">
        <v>813</v>
      </c>
      <c r="G254" s="21">
        <v>0.39900000000000002</v>
      </c>
    </row>
    <row r="255" spans="1:8" ht="12.9" customHeight="1" x14ac:dyDescent="0.25">
      <c r="C255" s="54" t="s">
        <v>151</v>
      </c>
      <c r="D255" s="141" t="s">
        <v>522</v>
      </c>
      <c r="E255" s="142"/>
      <c r="F255" s="142"/>
      <c r="G255" s="142"/>
    </row>
    <row r="256" spans="1:8" x14ac:dyDescent="0.25">
      <c r="A256" s="4" t="s">
        <v>115</v>
      </c>
      <c r="B256" s="4"/>
      <c r="C256" s="4" t="s">
        <v>269</v>
      </c>
      <c r="D256" s="4" t="s">
        <v>524</v>
      </c>
      <c r="E256" s="4" t="s">
        <v>591</v>
      </c>
      <c r="F256" s="4" t="s">
        <v>733</v>
      </c>
      <c r="G256" s="20">
        <v>37.299999999999997</v>
      </c>
      <c r="H256" s="31" t="s">
        <v>620</v>
      </c>
    </row>
    <row r="257" spans="1:8" ht="25.65" customHeight="1" x14ac:dyDescent="0.25">
      <c r="C257" s="54" t="s">
        <v>151</v>
      </c>
      <c r="D257" s="141" t="s">
        <v>525</v>
      </c>
      <c r="E257" s="142"/>
      <c r="F257" s="142"/>
      <c r="G257" s="142"/>
    </row>
    <row r="258" spans="1:8" x14ac:dyDescent="0.25">
      <c r="A258" s="4" t="s">
        <v>116</v>
      </c>
      <c r="B258" s="4"/>
      <c r="C258" s="4" t="s">
        <v>270</v>
      </c>
      <c r="D258" s="4" t="s">
        <v>526</v>
      </c>
      <c r="E258" s="4" t="s">
        <v>591</v>
      </c>
      <c r="F258" s="4" t="s">
        <v>733</v>
      </c>
      <c r="G258" s="20">
        <v>37.299999999999997</v>
      </c>
      <c r="H258" s="31" t="s">
        <v>620</v>
      </c>
    </row>
    <row r="259" spans="1:8" ht="12.9" customHeight="1" x14ac:dyDescent="0.25">
      <c r="C259" s="54" t="s">
        <v>151</v>
      </c>
      <c r="D259" s="141" t="s">
        <v>527</v>
      </c>
      <c r="E259" s="142"/>
      <c r="F259" s="142"/>
      <c r="G259" s="142"/>
    </row>
    <row r="260" spans="1:8" x14ac:dyDescent="0.25">
      <c r="A260" s="6" t="s">
        <v>117</v>
      </c>
      <c r="B260" s="6"/>
      <c r="C260" s="6" t="s">
        <v>271</v>
      </c>
      <c r="D260" s="6" t="s">
        <v>528</v>
      </c>
      <c r="E260" s="6" t="s">
        <v>595</v>
      </c>
      <c r="G260" s="21">
        <v>7.8330000000000002</v>
      </c>
      <c r="H260" s="32" t="s">
        <v>620</v>
      </c>
    </row>
    <row r="261" spans="1:8" x14ac:dyDescent="0.25">
      <c r="F261" s="6" t="s">
        <v>814</v>
      </c>
      <c r="G261" s="21">
        <v>7.46</v>
      </c>
    </row>
    <row r="262" spans="1:8" x14ac:dyDescent="0.25">
      <c r="A262" s="6"/>
      <c r="B262" s="6"/>
      <c r="C262" s="6"/>
      <c r="D262" s="6"/>
      <c r="E262" s="6"/>
      <c r="F262" s="6" t="s">
        <v>815</v>
      </c>
      <c r="G262" s="21">
        <v>0.373</v>
      </c>
    </row>
    <row r="263" spans="1:8" ht="25.65" customHeight="1" x14ac:dyDescent="0.25">
      <c r="C263" s="54" t="s">
        <v>151</v>
      </c>
      <c r="D263" s="141" t="s">
        <v>529</v>
      </c>
      <c r="E263" s="142"/>
      <c r="F263" s="142"/>
      <c r="G263" s="142"/>
    </row>
    <row r="264" spans="1:8" x14ac:dyDescent="0.25">
      <c r="A264" s="4" t="s">
        <v>118</v>
      </c>
      <c r="B264" s="4"/>
      <c r="C264" s="4" t="s">
        <v>272</v>
      </c>
      <c r="D264" s="4" t="s">
        <v>530</v>
      </c>
      <c r="E264" s="4" t="s">
        <v>591</v>
      </c>
      <c r="F264" s="4" t="s">
        <v>733</v>
      </c>
      <c r="G264" s="20">
        <v>37.299999999999997</v>
      </c>
      <c r="H264" s="31" t="s">
        <v>620</v>
      </c>
    </row>
    <row r="265" spans="1:8" x14ac:dyDescent="0.25">
      <c r="A265" s="4" t="s">
        <v>119</v>
      </c>
      <c r="B265" s="4"/>
      <c r="C265" s="4" t="s">
        <v>274</v>
      </c>
      <c r="D265" s="4" t="s">
        <v>532</v>
      </c>
      <c r="E265" s="4" t="s">
        <v>591</v>
      </c>
      <c r="G265" s="20">
        <v>223.17</v>
      </c>
      <c r="H265" s="31" t="s">
        <v>620</v>
      </c>
    </row>
    <row r="266" spans="1:8" x14ac:dyDescent="0.25">
      <c r="F266" s="4" t="s">
        <v>751</v>
      </c>
      <c r="G266" s="20">
        <v>155.16999999999999</v>
      </c>
    </row>
    <row r="267" spans="1:8" x14ac:dyDescent="0.25">
      <c r="A267" s="4"/>
      <c r="B267" s="4"/>
      <c r="C267" s="4"/>
      <c r="D267" s="4"/>
      <c r="E267" s="4"/>
      <c r="F267" s="4" t="s">
        <v>752</v>
      </c>
      <c r="G267" s="20">
        <v>68</v>
      </c>
    </row>
    <row r="268" spans="1:8" x14ac:dyDescent="0.25">
      <c r="A268" s="4" t="s">
        <v>120</v>
      </c>
      <c r="B268" s="4"/>
      <c r="C268" s="4" t="s">
        <v>275</v>
      </c>
      <c r="D268" s="4" t="s">
        <v>533</v>
      </c>
      <c r="E268" s="4" t="s">
        <v>591</v>
      </c>
      <c r="G268" s="20">
        <v>203.17</v>
      </c>
      <c r="H268" s="31" t="s">
        <v>620</v>
      </c>
    </row>
    <row r="269" spans="1:8" x14ac:dyDescent="0.25">
      <c r="F269" s="4" t="s">
        <v>751</v>
      </c>
      <c r="G269" s="20">
        <v>155.16999999999999</v>
      </c>
    </row>
    <row r="270" spans="1:8" x14ac:dyDescent="0.25">
      <c r="A270" s="4"/>
      <c r="B270" s="4"/>
      <c r="C270" s="4"/>
      <c r="D270" s="4"/>
      <c r="E270" s="4"/>
      <c r="F270" s="4" t="s">
        <v>816</v>
      </c>
      <c r="G270" s="20">
        <v>48</v>
      </c>
    </row>
    <row r="271" spans="1:8" ht="12.9" customHeight="1" x14ac:dyDescent="0.25">
      <c r="C271" s="54" t="s">
        <v>151</v>
      </c>
      <c r="D271" s="141" t="s">
        <v>534</v>
      </c>
      <c r="E271" s="142"/>
      <c r="F271" s="142"/>
      <c r="G271" s="142"/>
    </row>
    <row r="272" spans="1:8" x14ac:dyDescent="0.25">
      <c r="A272" s="4" t="s">
        <v>121</v>
      </c>
      <c r="B272" s="4"/>
      <c r="C272" s="4" t="s">
        <v>277</v>
      </c>
      <c r="D272" s="4" t="s">
        <v>536</v>
      </c>
      <c r="E272" s="4" t="s">
        <v>591</v>
      </c>
      <c r="G272" s="20">
        <v>192.55099999999999</v>
      </c>
      <c r="H272" s="31" t="s">
        <v>620</v>
      </c>
    </row>
    <row r="273" spans="1:8" x14ac:dyDescent="0.25">
      <c r="F273" s="4" t="s">
        <v>743</v>
      </c>
      <c r="G273" s="20">
        <v>103.32</v>
      </c>
    </row>
    <row r="274" spans="1:8" x14ac:dyDescent="0.25">
      <c r="A274" s="4"/>
      <c r="B274" s="4"/>
      <c r="C274" s="4"/>
      <c r="D274" s="4"/>
      <c r="E274" s="4"/>
      <c r="F274" s="4" t="s">
        <v>744</v>
      </c>
      <c r="G274" s="20">
        <v>0</v>
      </c>
    </row>
    <row r="275" spans="1:8" x14ac:dyDescent="0.25">
      <c r="A275" s="4"/>
      <c r="B275" s="4"/>
      <c r="C275" s="4"/>
      <c r="D275" s="4"/>
      <c r="E275" s="4"/>
      <c r="F275" s="4" t="s">
        <v>745</v>
      </c>
      <c r="G275" s="20">
        <v>5.9589999999999996</v>
      </c>
    </row>
    <row r="276" spans="1:8" x14ac:dyDescent="0.25">
      <c r="A276" s="4"/>
      <c r="B276" s="4"/>
      <c r="C276" s="4"/>
      <c r="D276" s="4"/>
      <c r="E276" s="4"/>
      <c r="F276" s="4" t="s">
        <v>746</v>
      </c>
      <c r="G276" s="20">
        <v>15.972</v>
      </c>
    </row>
    <row r="277" spans="1:8" x14ac:dyDescent="0.25">
      <c r="A277" s="4"/>
      <c r="B277" s="4"/>
      <c r="C277" s="4"/>
      <c r="D277" s="4"/>
      <c r="E277" s="4"/>
      <c r="F277" s="4" t="s">
        <v>747</v>
      </c>
      <c r="G277" s="20">
        <v>37.299999999999997</v>
      </c>
    </row>
    <row r="278" spans="1:8" x14ac:dyDescent="0.25">
      <c r="A278" s="4"/>
      <c r="B278" s="4"/>
      <c r="C278" s="4"/>
      <c r="D278" s="4"/>
      <c r="E278" s="4"/>
      <c r="F278" s="4" t="s">
        <v>817</v>
      </c>
      <c r="G278" s="20">
        <v>30</v>
      </c>
    </row>
    <row r="279" spans="1:8" ht="12.9" customHeight="1" x14ac:dyDescent="0.25">
      <c r="C279" s="54" t="s">
        <v>151</v>
      </c>
      <c r="D279" s="141" t="s">
        <v>537</v>
      </c>
      <c r="E279" s="142"/>
      <c r="F279" s="142"/>
      <c r="G279" s="142"/>
    </row>
    <row r="280" spans="1:8" x14ac:dyDescent="0.25">
      <c r="A280" s="4" t="s">
        <v>122</v>
      </c>
      <c r="B280" s="4"/>
      <c r="C280" s="4" t="s">
        <v>278</v>
      </c>
      <c r="D280" s="4" t="s">
        <v>538</v>
      </c>
      <c r="E280" s="4" t="s">
        <v>591</v>
      </c>
      <c r="G280" s="20">
        <v>192.55099999999999</v>
      </c>
      <c r="H280" s="31" t="s">
        <v>620</v>
      </c>
    </row>
    <row r="281" spans="1:8" x14ac:dyDescent="0.25">
      <c r="F281" s="4" t="s">
        <v>743</v>
      </c>
      <c r="G281" s="20">
        <v>103.32</v>
      </c>
    </row>
    <row r="282" spans="1:8" x14ac:dyDescent="0.25">
      <c r="A282" s="4"/>
      <c r="B282" s="4"/>
      <c r="C282" s="4"/>
      <c r="D282" s="4"/>
      <c r="E282" s="4"/>
      <c r="F282" s="4" t="s">
        <v>744</v>
      </c>
      <c r="G282" s="20">
        <v>0</v>
      </c>
    </row>
    <row r="283" spans="1:8" x14ac:dyDescent="0.25">
      <c r="A283" s="4"/>
      <c r="B283" s="4"/>
      <c r="C283" s="4"/>
      <c r="D283" s="4"/>
      <c r="E283" s="4"/>
      <c r="F283" s="4" t="s">
        <v>745</v>
      </c>
      <c r="G283" s="20">
        <v>5.9589999999999996</v>
      </c>
    </row>
    <row r="284" spans="1:8" x14ac:dyDescent="0.25">
      <c r="A284" s="4"/>
      <c r="B284" s="4"/>
      <c r="C284" s="4"/>
      <c r="D284" s="4"/>
      <c r="E284" s="4"/>
      <c r="F284" s="4" t="s">
        <v>746</v>
      </c>
      <c r="G284" s="20">
        <v>15.972</v>
      </c>
    </row>
    <row r="285" spans="1:8" x14ac:dyDescent="0.25">
      <c r="A285" s="4"/>
      <c r="B285" s="4"/>
      <c r="C285" s="4"/>
      <c r="D285" s="4"/>
      <c r="E285" s="4"/>
      <c r="F285" s="4" t="s">
        <v>747</v>
      </c>
      <c r="G285" s="20">
        <v>37.299999999999997</v>
      </c>
    </row>
    <row r="286" spans="1:8" x14ac:dyDescent="0.25">
      <c r="A286" s="4"/>
      <c r="B286" s="4"/>
      <c r="C286" s="4"/>
      <c r="D286" s="4"/>
      <c r="E286" s="4"/>
      <c r="F286" s="4" t="s">
        <v>817</v>
      </c>
      <c r="G286" s="20">
        <v>30</v>
      </c>
    </row>
    <row r="287" spans="1:8" ht="25.65" customHeight="1" x14ac:dyDescent="0.25">
      <c r="C287" s="54" t="s">
        <v>151</v>
      </c>
      <c r="D287" s="141" t="s">
        <v>539</v>
      </c>
      <c r="E287" s="142"/>
      <c r="F287" s="142"/>
      <c r="G287" s="142"/>
    </row>
    <row r="288" spans="1:8" x14ac:dyDescent="0.25">
      <c r="A288" s="4" t="s">
        <v>123</v>
      </c>
      <c r="B288" s="4"/>
      <c r="C288" s="4" t="s">
        <v>279</v>
      </c>
      <c r="D288" s="4" t="s">
        <v>541</v>
      </c>
      <c r="E288" s="4" t="s">
        <v>594</v>
      </c>
      <c r="F288" s="4" t="s">
        <v>818</v>
      </c>
      <c r="G288" s="20">
        <v>9</v>
      </c>
      <c r="H288" s="31" t="s">
        <v>622</v>
      </c>
    </row>
    <row r="289" spans="1:8" ht="51.45" customHeight="1" x14ac:dyDescent="0.25">
      <c r="C289" s="54" t="s">
        <v>151</v>
      </c>
      <c r="D289" s="141" t="s">
        <v>543</v>
      </c>
      <c r="E289" s="142"/>
      <c r="F289" s="142"/>
      <c r="G289" s="142"/>
    </row>
    <row r="290" spans="1:8" x14ac:dyDescent="0.25">
      <c r="A290" s="4" t="s">
        <v>124</v>
      </c>
      <c r="B290" s="4"/>
      <c r="C290" s="4" t="s">
        <v>280</v>
      </c>
      <c r="D290" s="4" t="s">
        <v>545</v>
      </c>
      <c r="E290" s="4" t="s">
        <v>591</v>
      </c>
      <c r="G290" s="20">
        <v>245.5</v>
      </c>
      <c r="H290" s="31" t="s">
        <v>620</v>
      </c>
    </row>
    <row r="291" spans="1:8" x14ac:dyDescent="0.25">
      <c r="F291" s="4" t="s">
        <v>819</v>
      </c>
      <c r="G291" s="20">
        <v>122.5</v>
      </c>
    </row>
    <row r="292" spans="1:8" x14ac:dyDescent="0.25">
      <c r="A292" s="4"/>
      <c r="B292" s="4"/>
      <c r="C292" s="4"/>
      <c r="D292" s="4"/>
      <c r="E292" s="4"/>
      <c r="F292" s="4" t="s">
        <v>820</v>
      </c>
      <c r="G292" s="20">
        <v>123</v>
      </c>
    </row>
    <row r="293" spans="1:8" ht="51.45" customHeight="1" x14ac:dyDescent="0.25">
      <c r="C293" s="54" t="s">
        <v>151</v>
      </c>
      <c r="D293" s="141" t="s">
        <v>546</v>
      </c>
      <c r="E293" s="142"/>
      <c r="F293" s="142"/>
      <c r="G293" s="142"/>
    </row>
    <row r="294" spans="1:8" x14ac:dyDescent="0.25">
      <c r="A294" s="4" t="s">
        <v>125</v>
      </c>
      <c r="B294" s="4"/>
      <c r="C294" s="4" t="s">
        <v>281</v>
      </c>
      <c r="D294" s="4" t="s">
        <v>547</v>
      </c>
      <c r="E294" s="4" t="s">
        <v>597</v>
      </c>
      <c r="F294" s="4" t="s">
        <v>821</v>
      </c>
      <c r="G294" s="20">
        <v>3</v>
      </c>
      <c r="H294" s="31" t="s">
        <v>620</v>
      </c>
    </row>
    <row r="295" spans="1:8" ht="12.9" customHeight="1" x14ac:dyDescent="0.25">
      <c r="C295" s="54" t="s">
        <v>151</v>
      </c>
      <c r="D295" s="141" t="s">
        <v>548</v>
      </c>
      <c r="E295" s="142"/>
      <c r="F295" s="142"/>
      <c r="G295" s="142"/>
    </row>
    <row r="296" spans="1:8" x14ac:dyDescent="0.25">
      <c r="A296" s="6" t="s">
        <v>126</v>
      </c>
      <c r="B296" s="6"/>
      <c r="C296" s="6" t="s">
        <v>282</v>
      </c>
      <c r="D296" s="6" t="s">
        <v>549</v>
      </c>
      <c r="E296" s="6" t="s">
        <v>597</v>
      </c>
      <c r="F296" s="6" t="s">
        <v>9</v>
      </c>
      <c r="G296" s="21">
        <v>3</v>
      </c>
      <c r="H296" s="32" t="s">
        <v>620</v>
      </c>
    </row>
    <row r="297" spans="1:8" ht="38.4" customHeight="1" x14ac:dyDescent="0.25">
      <c r="C297" s="54" t="s">
        <v>151</v>
      </c>
      <c r="D297" s="141" t="s">
        <v>550</v>
      </c>
      <c r="E297" s="142"/>
      <c r="F297" s="142"/>
      <c r="G297" s="142"/>
    </row>
    <row r="298" spans="1:8" x14ac:dyDescent="0.25">
      <c r="A298" s="4" t="s">
        <v>127</v>
      </c>
      <c r="B298" s="4"/>
      <c r="C298" s="4" t="s">
        <v>283</v>
      </c>
      <c r="D298" s="4" t="s">
        <v>551</v>
      </c>
      <c r="E298" s="4" t="s">
        <v>597</v>
      </c>
      <c r="F298" s="4" t="s">
        <v>14</v>
      </c>
      <c r="G298" s="20">
        <v>8</v>
      </c>
      <c r="H298" s="31" t="s">
        <v>620</v>
      </c>
    </row>
    <row r="299" spans="1:8" x14ac:dyDescent="0.25">
      <c r="A299" s="4" t="s">
        <v>128</v>
      </c>
      <c r="B299" s="4"/>
      <c r="C299" s="4" t="s">
        <v>284</v>
      </c>
      <c r="D299" s="4" t="s">
        <v>553</v>
      </c>
      <c r="E299" s="4" t="s">
        <v>591</v>
      </c>
      <c r="F299" s="4" t="s">
        <v>822</v>
      </c>
      <c r="G299" s="20">
        <v>197.4</v>
      </c>
      <c r="H299" s="31" t="s">
        <v>620</v>
      </c>
    </row>
    <row r="300" spans="1:8" ht="12.9" customHeight="1" x14ac:dyDescent="0.25">
      <c r="C300" s="54" t="s">
        <v>151</v>
      </c>
      <c r="D300" s="141" t="s">
        <v>555</v>
      </c>
      <c r="E300" s="142"/>
      <c r="F300" s="142"/>
      <c r="G300" s="142"/>
    </row>
    <row r="301" spans="1:8" x14ac:dyDescent="0.25">
      <c r="A301" s="4" t="s">
        <v>129</v>
      </c>
      <c r="B301" s="4"/>
      <c r="C301" s="4" t="s">
        <v>285</v>
      </c>
      <c r="D301" s="4" t="s">
        <v>556</v>
      </c>
      <c r="E301" s="4" t="s">
        <v>591</v>
      </c>
      <c r="F301" s="4" t="s">
        <v>823</v>
      </c>
      <c r="G301" s="20">
        <v>13.49</v>
      </c>
      <c r="H301" s="31" t="s">
        <v>620</v>
      </c>
    </row>
    <row r="302" spans="1:8" ht="12.9" customHeight="1" x14ac:dyDescent="0.25">
      <c r="C302" s="54" t="s">
        <v>151</v>
      </c>
      <c r="D302" s="141" t="s">
        <v>555</v>
      </c>
      <c r="E302" s="142"/>
      <c r="F302" s="142"/>
      <c r="G302" s="142"/>
    </row>
    <row r="303" spans="1:8" x14ac:dyDescent="0.25">
      <c r="A303" s="4" t="s">
        <v>130</v>
      </c>
      <c r="B303" s="4"/>
      <c r="C303" s="4" t="s">
        <v>286</v>
      </c>
      <c r="D303" s="4" t="s">
        <v>557</v>
      </c>
      <c r="E303" s="4" t="s">
        <v>591</v>
      </c>
      <c r="F303" s="4" t="s">
        <v>824</v>
      </c>
      <c r="G303" s="20">
        <v>60</v>
      </c>
      <c r="H303" s="31" t="s">
        <v>620</v>
      </c>
    </row>
    <row r="304" spans="1:8" ht="25.65" customHeight="1" x14ac:dyDescent="0.25">
      <c r="C304" s="54" t="s">
        <v>151</v>
      </c>
      <c r="D304" s="141" t="s">
        <v>559</v>
      </c>
      <c r="E304" s="142"/>
      <c r="F304" s="142"/>
      <c r="G304" s="142"/>
    </row>
    <row r="305" spans="1:8" x14ac:dyDescent="0.25">
      <c r="A305" s="4" t="s">
        <v>131</v>
      </c>
      <c r="B305" s="4"/>
      <c r="C305" s="4" t="s">
        <v>287</v>
      </c>
      <c r="D305" s="4" t="s">
        <v>560</v>
      </c>
      <c r="E305" s="4" t="s">
        <v>591</v>
      </c>
      <c r="F305" s="4" t="s">
        <v>825</v>
      </c>
      <c r="G305" s="20">
        <v>117.65</v>
      </c>
      <c r="H305" s="31" t="s">
        <v>620</v>
      </c>
    </row>
    <row r="306" spans="1:8" x14ac:dyDescent="0.25">
      <c r="A306" s="4" t="s">
        <v>132</v>
      </c>
      <c r="B306" s="4"/>
      <c r="C306" s="4" t="s">
        <v>288</v>
      </c>
      <c r="D306" s="4" t="s">
        <v>561</v>
      </c>
      <c r="E306" s="4" t="s">
        <v>592</v>
      </c>
      <c r="G306" s="20">
        <v>5.4126000000000003</v>
      </c>
      <c r="H306" s="31" t="s">
        <v>620</v>
      </c>
    </row>
    <row r="307" spans="1:8" x14ac:dyDescent="0.25">
      <c r="F307" s="4" t="s">
        <v>826</v>
      </c>
      <c r="G307" s="20">
        <v>3.7158000000000002</v>
      </c>
    </row>
    <row r="308" spans="1:8" x14ac:dyDescent="0.25">
      <c r="A308" s="4"/>
      <c r="B308" s="4"/>
      <c r="C308" s="4"/>
      <c r="D308" s="4"/>
      <c r="E308" s="4"/>
      <c r="F308" s="4" t="s">
        <v>827</v>
      </c>
      <c r="G308" s="20">
        <v>1.6968000000000001</v>
      </c>
    </row>
    <row r="309" spans="1:8" ht="12.9" customHeight="1" x14ac:dyDescent="0.25">
      <c r="C309" s="54" t="s">
        <v>151</v>
      </c>
      <c r="D309" s="141" t="s">
        <v>555</v>
      </c>
      <c r="E309" s="142"/>
      <c r="F309" s="142"/>
      <c r="G309" s="142"/>
    </row>
    <row r="310" spans="1:8" x14ac:dyDescent="0.25">
      <c r="A310" s="4" t="s">
        <v>133</v>
      </c>
      <c r="B310" s="4"/>
      <c r="C310" s="4" t="s">
        <v>289</v>
      </c>
      <c r="D310" s="4" t="s">
        <v>562</v>
      </c>
      <c r="E310" s="4" t="s">
        <v>592</v>
      </c>
      <c r="F310" s="4" t="s">
        <v>828</v>
      </c>
      <c r="G310" s="20">
        <v>1.121</v>
      </c>
      <c r="H310" s="31" t="s">
        <v>620</v>
      </c>
    </row>
    <row r="311" spans="1:8" ht="12.9" customHeight="1" x14ac:dyDescent="0.25">
      <c r="C311" s="54" t="s">
        <v>151</v>
      </c>
      <c r="D311" s="141" t="s">
        <v>555</v>
      </c>
      <c r="E311" s="142"/>
      <c r="F311" s="142"/>
      <c r="G311" s="142"/>
    </row>
    <row r="312" spans="1:8" x14ac:dyDescent="0.25">
      <c r="A312" s="4" t="s">
        <v>134</v>
      </c>
      <c r="B312" s="4"/>
      <c r="C312" s="4" t="s">
        <v>290</v>
      </c>
      <c r="D312" s="4" t="s">
        <v>564</v>
      </c>
      <c r="E312" s="4" t="s">
        <v>592</v>
      </c>
      <c r="F312" s="4" t="s">
        <v>829</v>
      </c>
      <c r="G312" s="20">
        <v>28.7865</v>
      </c>
      <c r="H312" s="31" t="s">
        <v>620</v>
      </c>
    </row>
    <row r="313" spans="1:8" x14ac:dyDescent="0.25">
      <c r="A313" s="4" t="s">
        <v>135</v>
      </c>
      <c r="B313" s="4"/>
      <c r="C313" s="4" t="s">
        <v>292</v>
      </c>
      <c r="D313" s="4" t="s">
        <v>567</v>
      </c>
      <c r="E313" s="4" t="s">
        <v>593</v>
      </c>
      <c r="G313" s="20">
        <v>332.38783999999998</v>
      </c>
      <c r="H313" s="31" t="s">
        <v>620</v>
      </c>
    </row>
    <row r="314" spans="1:8" x14ac:dyDescent="0.25">
      <c r="A314" s="4" t="s">
        <v>136</v>
      </c>
      <c r="B314" s="4"/>
      <c r="C314" s="4" t="s">
        <v>294</v>
      </c>
      <c r="D314" s="4" t="s">
        <v>569</v>
      </c>
      <c r="E314" s="4" t="s">
        <v>599</v>
      </c>
      <c r="F314" s="4" t="s">
        <v>7</v>
      </c>
      <c r="G314" s="20">
        <v>1</v>
      </c>
      <c r="H314" s="31" t="s">
        <v>620</v>
      </c>
    </row>
    <row r="315" spans="1:8" x14ac:dyDescent="0.25">
      <c r="A315" s="4" t="s">
        <v>137</v>
      </c>
      <c r="B315" s="4"/>
      <c r="C315" s="4" t="s">
        <v>296</v>
      </c>
      <c r="D315" s="4" t="s">
        <v>572</v>
      </c>
      <c r="E315" s="4" t="s">
        <v>591</v>
      </c>
      <c r="F315" s="4" t="s">
        <v>830</v>
      </c>
      <c r="G315" s="20">
        <v>3.6</v>
      </c>
      <c r="H315" s="31" t="s">
        <v>620</v>
      </c>
    </row>
    <row r="316" spans="1:8" ht="12.9" customHeight="1" x14ac:dyDescent="0.25">
      <c r="C316" s="54" t="s">
        <v>151</v>
      </c>
      <c r="D316" s="141" t="s">
        <v>573</v>
      </c>
      <c r="E316" s="142"/>
      <c r="F316" s="142"/>
      <c r="G316" s="142"/>
    </row>
    <row r="317" spans="1:8" x14ac:dyDescent="0.25">
      <c r="A317" s="6" t="s">
        <v>138</v>
      </c>
      <c r="B317" s="6"/>
      <c r="C317" s="6" t="s">
        <v>248</v>
      </c>
      <c r="D317" s="6" t="s">
        <v>490</v>
      </c>
      <c r="E317" s="6" t="s">
        <v>597</v>
      </c>
      <c r="G317" s="21">
        <v>4.1399999999999997</v>
      </c>
      <c r="H317" s="32" t="s">
        <v>620</v>
      </c>
    </row>
    <row r="318" spans="1:8" x14ac:dyDescent="0.25">
      <c r="F318" s="6" t="s">
        <v>830</v>
      </c>
      <c r="G318" s="21">
        <v>3.6</v>
      </c>
    </row>
    <row r="319" spans="1:8" x14ac:dyDescent="0.25">
      <c r="A319" s="6"/>
      <c r="B319" s="6"/>
      <c r="C319" s="6"/>
      <c r="D319" s="6"/>
      <c r="E319" s="6"/>
      <c r="F319" s="6" t="s">
        <v>831</v>
      </c>
      <c r="G319" s="21">
        <v>0.54</v>
      </c>
    </row>
    <row r="320" spans="1:8" ht="12.9" customHeight="1" x14ac:dyDescent="0.25">
      <c r="C320" s="54" t="s">
        <v>151</v>
      </c>
      <c r="D320" s="141" t="s">
        <v>491</v>
      </c>
      <c r="E320" s="142"/>
      <c r="F320" s="142"/>
      <c r="G320" s="142"/>
    </row>
    <row r="321" spans="1:8" x14ac:dyDescent="0.25">
      <c r="A321" s="4" t="s">
        <v>139</v>
      </c>
      <c r="B321" s="4"/>
      <c r="C321" s="4" t="s">
        <v>298</v>
      </c>
      <c r="D321" s="4" t="s">
        <v>575</v>
      </c>
      <c r="E321" s="4" t="s">
        <v>593</v>
      </c>
      <c r="G321" s="20">
        <v>87.750249999999994</v>
      </c>
      <c r="H321" s="31" t="s">
        <v>620</v>
      </c>
    </row>
    <row r="322" spans="1:8" ht="25.65" customHeight="1" x14ac:dyDescent="0.25">
      <c r="C322" s="54" t="s">
        <v>151</v>
      </c>
      <c r="D322" s="141" t="s">
        <v>576</v>
      </c>
      <c r="E322" s="142"/>
      <c r="F322" s="142"/>
      <c r="G322" s="142"/>
    </row>
    <row r="323" spans="1:8" x14ac:dyDescent="0.25">
      <c r="A323" s="4" t="s">
        <v>140</v>
      </c>
      <c r="B323" s="4"/>
      <c r="C323" s="4" t="s">
        <v>299</v>
      </c>
      <c r="D323" s="4" t="s">
        <v>577</v>
      </c>
      <c r="E323" s="4" t="s">
        <v>593</v>
      </c>
      <c r="G323" s="20">
        <v>87.750249999999994</v>
      </c>
      <c r="H323" s="31" t="s">
        <v>620</v>
      </c>
    </row>
    <row r="324" spans="1:8" x14ac:dyDescent="0.25">
      <c r="A324" s="4" t="s">
        <v>141</v>
      </c>
      <c r="B324" s="4"/>
      <c r="C324" s="4" t="s">
        <v>300</v>
      </c>
      <c r="D324" s="4" t="s">
        <v>579</v>
      </c>
      <c r="E324" s="4" t="s">
        <v>593</v>
      </c>
      <c r="F324" s="4" t="s">
        <v>832</v>
      </c>
      <c r="G324" s="20">
        <v>1140.75</v>
      </c>
      <c r="H324" s="31" t="s">
        <v>620</v>
      </c>
    </row>
    <row r="325" spans="1:8" x14ac:dyDescent="0.25">
      <c r="A325" s="4" t="s">
        <v>142</v>
      </c>
      <c r="B325" s="4"/>
      <c r="C325" s="4" t="s">
        <v>301</v>
      </c>
      <c r="D325" s="4" t="s">
        <v>580</v>
      </c>
      <c r="E325" s="4" t="s">
        <v>593</v>
      </c>
      <c r="G325" s="20">
        <v>87.750249999999994</v>
      </c>
      <c r="H325" s="31" t="s">
        <v>620</v>
      </c>
    </row>
    <row r="326" spans="1:8" x14ac:dyDescent="0.25">
      <c r="A326" s="4" t="s">
        <v>143</v>
      </c>
      <c r="B326" s="4"/>
      <c r="C326" s="4" t="s">
        <v>302</v>
      </c>
      <c r="D326" s="4" t="s">
        <v>581</v>
      </c>
      <c r="E326" s="4" t="s">
        <v>593</v>
      </c>
      <c r="G326" s="20">
        <v>85.979370000000003</v>
      </c>
      <c r="H326" s="31" t="s">
        <v>620</v>
      </c>
    </row>
    <row r="327" spans="1:8" x14ac:dyDescent="0.25">
      <c r="A327" s="4" t="s">
        <v>144</v>
      </c>
      <c r="B327" s="4"/>
      <c r="C327" s="4" t="s">
        <v>303</v>
      </c>
      <c r="D327" s="4" t="s">
        <v>582</v>
      </c>
      <c r="E327" s="4" t="s">
        <v>593</v>
      </c>
      <c r="G327" s="20">
        <v>25.652850000000001</v>
      </c>
      <c r="H327" s="31" t="s">
        <v>620</v>
      </c>
    </row>
    <row r="328" spans="1:8" ht="12.9" customHeight="1" x14ac:dyDescent="0.25">
      <c r="C328" s="54" t="s">
        <v>151</v>
      </c>
      <c r="D328" s="141" t="s">
        <v>583</v>
      </c>
      <c r="E328" s="142"/>
      <c r="F328" s="142"/>
      <c r="G328" s="142"/>
    </row>
    <row r="329" spans="1:8" x14ac:dyDescent="0.25">
      <c r="A329" s="4" t="s">
        <v>145</v>
      </c>
      <c r="B329" s="4"/>
      <c r="C329" s="4" t="s">
        <v>304</v>
      </c>
      <c r="D329" s="4" t="s">
        <v>584</v>
      </c>
      <c r="E329" s="4" t="s">
        <v>593</v>
      </c>
      <c r="G329" s="20">
        <v>3.9844200000000001</v>
      </c>
      <c r="H329" s="31" t="s">
        <v>620</v>
      </c>
    </row>
    <row r="330" spans="1:8" ht="12.9" customHeight="1" x14ac:dyDescent="0.25">
      <c r="C330" s="54" t="s">
        <v>151</v>
      </c>
      <c r="D330" s="141" t="s">
        <v>585</v>
      </c>
      <c r="E330" s="142"/>
      <c r="F330" s="142"/>
      <c r="G330" s="142"/>
    </row>
    <row r="332" spans="1:8" ht="11.25" customHeight="1" x14ac:dyDescent="0.25">
      <c r="A332" s="9" t="s">
        <v>146</v>
      </c>
    </row>
    <row r="333" spans="1:8" ht="153.9" customHeight="1" x14ac:dyDescent="0.25">
      <c r="A333" s="118" t="s">
        <v>147</v>
      </c>
      <c r="B333" s="115"/>
      <c r="C333" s="115"/>
      <c r="D333" s="115"/>
      <c r="E333" s="115"/>
      <c r="F333" s="115"/>
      <c r="G333" s="115"/>
    </row>
  </sheetData>
  <mergeCells count="96">
    <mergeCell ref="A4:B5"/>
    <mergeCell ref="C4:D5"/>
    <mergeCell ref="E4:E5"/>
    <mergeCell ref="F4:H5"/>
    <mergeCell ref="A1:H1"/>
    <mergeCell ref="A2:B3"/>
    <mergeCell ref="C2:D3"/>
    <mergeCell ref="E2:E3"/>
    <mergeCell ref="F2:H3"/>
    <mergeCell ref="A6:B7"/>
    <mergeCell ref="C6:D7"/>
    <mergeCell ref="E6:E7"/>
    <mergeCell ref="F6:H7"/>
    <mergeCell ref="A8:B9"/>
    <mergeCell ref="C8:D9"/>
    <mergeCell ref="E8:E9"/>
    <mergeCell ref="F8:H9"/>
    <mergeCell ref="D47:G47"/>
    <mergeCell ref="D12:G12"/>
    <mergeCell ref="D14:G14"/>
    <mergeCell ref="D18:G18"/>
    <mergeCell ref="D22:G22"/>
    <mergeCell ref="D24:G24"/>
    <mergeCell ref="D26:G26"/>
    <mergeCell ref="D32:G32"/>
    <mergeCell ref="D34:G34"/>
    <mergeCell ref="D38:G38"/>
    <mergeCell ref="D43:G43"/>
    <mergeCell ref="D45:G45"/>
    <mergeCell ref="D91:G91"/>
    <mergeCell ref="D51:G51"/>
    <mergeCell ref="D55:G55"/>
    <mergeCell ref="D57:G57"/>
    <mergeCell ref="D61:G61"/>
    <mergeCell ref="D63:G63"/>
    <mergeCell ref="D68:G68"/>
    <mergeCell ref="D81:G81"/>
    <mergeCell ref="D83:G83"/>
    <mergeCell ref="D85:G85"/>
    <mergeCell ref="D87:G87"/>
    <mergeCell ref="D89:G89"/>
    <mergeCell ref="D132:G132"/>
    <mergeCell ref="D93:G93"/>
    <mergeCell ref="D97:G97"/>
    <mergeCell ref="D105:G105"/>
    <mergeCell ref="D107:G107"/>
    <mergeCell ref="D113:G113"/>
    <mergeCell ref="D115:G115"/>
    <mergeCell ref="D117:G117"/>
    <mergeCell ref="D120:G120"/>
    <mergeCell ref="D126:G126"/>
    <mergeCell ref="D127:G127"/>
    <mergeCell ref="D131:G131"/>
    <mergeCell ref="D207:G207"/>
    <mergeCell ref="D139:G139"/>
    <mergeCell ref="D141:G141"/>
    <mergeCell ref="D145:G145"/>
    <mergeCell ref="D147:G147"/>
    <mergeCell ref="D151:G151"/>
    <mergeCell ref="D153:G153"/>
    <mergeCell ref="D176:G176"/>
    <mergeCell ref="D180:G180"/>
    <mergeCell ref="D188:G188"/>
    <mergeCell ref="D201:G201"/>
    <mergeCell ref="D205:G205"/>
    <mergeCell ref="D259:G259"/>
    <mergeCell ref="D209:G209"/>
    <mergeCell ref="D213:G213"/>
    <mergeCell ref="D221:G221"/>
    <mergeCell ref="D223:G223"/>
    <mergeCell ref="D231:G231"/>
    <mergeCell ref="D237:G237"/>
    <mergeCell ref="D246:G246"/>
    <mergeCell ref="D249:G249"/>
    <mergeCell ref="D251:G251"/>
    <mergeCell ref="D255:G255"/>
    <mergeCell ref="D257:G257"/>
    <mergeCell ref="D309:G309"/>
    <mergeCell ref="D263:G263"/>
    <mergeCell ref="D271:G271"/>
    <mergeCell ref="D279:G279"/>
    <mergeCell ref="D287:G287"/>
    <mergeCell ref="D289:G289"/>
    <mergeCell ref="D293:G293"/>
    <mergeCell ref="D295:G295"/>
    <mergeCell ref="D297:G297"/>
    <mergeCell ref="D300:G300"/>
    <mergeCell ref="D302:G302"/>
    <mergeCell ref="D304:G304"/>
    <mergeCell ref="A333:G333"/>
    <mergeCell ref="D311:G311"/>
    <mergeCell ref="D316:G316"/>
    <mergeCell ref="D320:G320"/>
    <mergeCell ref="D322:G322"/>
    <mergeCell ref="D328:G328"/>
    <mergeCell ref="D330:G330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rozpočtu</vt:lpstr>
      <vt:lpstr>Stavební rozpočet - součet</vt:lpstr>
      <vt:lpstr>Stavební rozpočet</vt:lpstr>
      <vt:lpstr>VORN</vt:lpstr>
      <vt:lpstr>Výkaz výměr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Vašek</dc:creator>
  <cp:lastModifiedBy>Tomáš Prchal</cp:lastModifiedBy>
  <dcterms:created xsi:type="dcterms:W3CDTF">2019-07-16T17:39:31Z</dcterms:created>
  <dcterms:modified xsi:type="dcterms:W3CDTF">2019-07-25T06:55:37Z</dcterms:modified>
</cp:coreProperties>
</file>